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20998\OneDrive - Hyundai Motor and Kia\바탕 화면\데이터\실적\6월\"/>
    </mc:Choice>
  </mc:AlternateContent>
  <xr:revisionPtr revIDLastSave="0" documentId="13_ncr:1_{F0639A92-FB0C-4A15-871A-6F280D2F1BBE}" xr6:coauthVersionLast="44" xr6:coauthVersionMax="44" xr10:uidLastSave="{00000000-0000-0000-0000-000000000000}"/>
  <bookViews>
    <workbookView xWindow="-23148" yWindow="-108" windowWidth="23256" windowHeight="12576" xr2:uid="{00000000-000D-0000-FFFF-FFFF00000000}"/>
  </bookViews>
  <sheets>
    <sheet name="종합" sheetId="1" r:id="rId1"/>
    <sheet name=" 내수" sheetId="3" r:id="rId2"/>
    <sheet name="6월" sheetId="25" r:id="rId3"/>
    <sheet name="⊙카메라" sheetId="2" r:id="rId4"/>
  </sheets>
  <definedNames>
    <definedName name="_xlnm.Print_Area" localSheetId="1">' 내수'!$B$1:$P$386</definedName>
    <definedName name="_xlnm.Print_Area" localSheetId="3">⊙카메라!$A$17:$E$96</definedName>
    <definedName name="_xlnm.Print_Area" localSheetId="2">'6월'!$A$1:$L$64</definedName>
    <definedName name="_xlnm.Print_Area" localSheetId="0">종합!$B$1:$K$43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25" l="1"/>
  <c r="I38" i="25"/>
  <c r="E38" i="25"/>
  <c r="I8" i="1"/>
  <c r="G8" i="1"/>
  <c r="E9" i="2"/>
  <c r="D8" i="1"/>
  <c r="J64" i="25" l="1"/>
  <c r="J61" i="25"/>
  <c r="J52" i="25"/>
  <c r="J43" i="25"/>
  <c r="J35" i="25"/>
  <c r="J34" i="25"/>
  <c r="J27" i="25"/>
  <c r="J24" i="25"/>
  <c r="J20" i="25"/>
  <c r="J11" i="25"/>
  <c r="P69" i="3"/>
  <c r="E61" i="25"/>
  <c r="E52" i="25"/>
  <c r="E64" i="25" s="1"/>
  <c r="E43" i="25"/>
  <c r="E35" i="25"/>
  <c r="E34" i="25"/>
  <c r="E27" i="25"/>
  <c r="E24" i="25"/>
  <c r="E20" i="25"/>
  <c r="E11" i="25"/>
  <c r="J8" i="1" l="1"/>
  <c r="E8" i="1"/>
  <c r="L61" i="25"/>
  <c r="L64" i="25"/>
  <c r="L52" i="25"/>
  <c r="L43" i="25"/>
  <c r="H64" i="25"/>
  <c r="H61" i="25"/>
  <c r="H52" i="25"/>
  <c r="H43" i="25"/>
  <c r="H38" i="25"/>
  <c r="L38" i="25"/>
  <c r="L35" i="25"/>
  <c r="L34" i="25"/>
  <c r="L27" i="25"/>
  <c r="L24" i="25"/>
  <c r="L20" i="25"/>
  <c r="L11" i="25"/>
  <c r="H35" i="25"/>
  <c r="H34" i="25"/>
  <c r="H27" i="25"/>
  <c r="H24" i="25"/>
  <c r="H20" i="25"/>
  <c r="H11" i="25"/>
  <c r="I61" i="25"/>
  <c r="I52" i="25"/>
  <c r="I43" i="25"/>
  <c r="I64" i="25" s="1"/>
  <c r="I34" i="25"/>
  <c r="I27" i="25"/>
  <c r="I24" i="25"/>
  <c r="I20" i="25"/>
  <c r="I11" i="25"/>
  <c r="I35" i="25" s="1"/>
  <c r="D6" i="2"/>
  <c r="D8" i="2"/>
  <c r="E57" i="3" l="1"/>
  <c r="K8" i="1"/>
  <c r="E8" i="2"/>
  <c r="F35" i="25"/>
  <c r="F34" i="25"/>
  <c r="G11" i="25"/>
  <c r="P45" i="3"/>
  <c r="P42" i="3" s="1"/>
  <c r="H8" i="1"/>
  <c r="D7" i="2"/>
  <c r="E7" i="2"/>
  <c r="K64" i="25"/>
  <c r="G43" i="25"/>
  <c r="E6" i="2"/>
  <c r="G61" i="25"/>
  <c r="K57" i="25"/>
  <c r="G57" i="25"/>
  <c r="F57" i="25"/>
  <c r="P70" i="3"/>
  <c r="P71" i="3"/>
  <c r="E69" i="3"/>
  <c r="F69" i="3"/>
  <c r="G69" i="3"/>
  <c r="H69" i="3"/>
  <c r="I69" i="3"/>
  <c r="J69" i="3"/>
  <c r="K69" i="3"/>
  <c r="L69" i="3"/>
  <c r="M69" i="3"/>
  <c r="N69" i="3"/>
  <c r="O69" i="3"/>
  <c r="D69" i="3"/>
  <c r="K52" i="25"/>
  <c r="D5" i="2"/>
  <c r="E5" i="2"/>
  <c r="G5" i="1"/>
  <c r="K61" i="25"/>
  <c r="D4" i="2"/>
  <c r="E51" i="3"/>
  <c r="F51" i="3"/>
  <c r="G51" i="3"/>
  <c r="H51" i="3"/>
  <c r="I51" i="3"/>
  <c r="J51" i="3"/>
  <c r="K51" i="3"/>
  <c r="L51" i="3"/>
  <c r="M51" i="3"/>
  <c r="N51" i="3"/>
  <c r="O51" i="3"/>
  <c r="D51" i="3"/>
  <c r="E4" i="2"/>
  <c r="P55" i="3"/>
  <c r="G24" i="25"/>
  <c r="D31" i="2"/>
  <c r="D30" i="2"/>
  <c r="E73" i="3"/>
  <c r="F73" i="3"/>
  <c r="G73" i="3"/>
  <c r="H73" i="3"/>
  <c r="I73" i="3"/>
  <c r="J73" i="3"/>
  <c r="K73" i="3"/>
  <c r="L73" i="3"/>
  <c r="M73" i="3"/>
  <c r="N73" i="3"/>
  <c r="O73" i="3"/>
  <c r="D73" i="3"/>
  <c r="E65" i="3"/>
  <c r="F65" i="3"/>
  <c r="G65" i="3"/>
  <c r="H65" i="3"/>
  <c r="I65" i="3"/>
  <c r="J65" i="3"/>
  <c r="K65" i="3"/>
  <c r="L65" i="3"/>
  <c r="M65" i="3"/>
  <c r="N65" i="3"/>
  <c r="O65" i="3"/>
  <c r="D65" i="3"/>
  <c r="E61" i="3"/>
  <c r="F61" i="3"/>
  <c r="G61" i="3"/>
  <c r="H61" i="3"/>
  <c r="I61" i="3"/>
  <c r="J61" i="3"/>
  <c r="K61" i="3"/>
  <c r="L61" i="3"/>
  <c r="M61" i="3"/>
  <c r="N61" i="3"/>
  <c r="O61" i="3"/>
  <c r="D61" i="3"/>
  <c r="F57" i="3"/>
  <c r="G57" i="3"/>
  <c r="H57" i="3"/>
  <c r="I57" i="3"/>
  <c r="J57" i="3"/>
  <c r="K57" i="3"/>
  <c r="L57" i="3"/>
  <c r="M57" i="3"/>
  <c r="N57" i="3"/>
  <c r="O57" i="3"/>
  <c r="D57" i="3"/>
  <c r="E47" i="3"/>
  <c r="F47" i="3"/>
  <c r="G47" i="3"/>
  <c r="H47" i="3"/>
  <c r="I47" i="3"/>
  <c r="J47" i="3"/>
  <c r="K47" i="3"/>
  <c r="L47" i="3"/>
  <c r="M47" i="3"/>
  <c r="N47" i="3"/>
  <c r="O47" i="3"/>
  <c r="D47" i="3"/>
  <c r="E42" i="3"/>
  <c r="F42" i="3"/>
  <c r="G42" i="3"/>
  <c r="H42" i="3"/>
  <c r="I42" i="3"/>
  <c r="J42" i="3"/>
  <c r="K42" i="3"/>
  <c r="L42" i="3"/>
  <c r="M42" i="3"/>
  <c r="N42" i="3"/>
  <c r="O42" i="3"/>
  <c r="D42" i="3"/>
  <c r="E37" i="3"/>
  <c r="F37" i="3"/>
  <c r="G37" i="3"/>
  <c r="H37" i="3"/>
  <c r="I37" i="3"/>
  <c r="J37" i="3"/>
  <c r="K37" i="3"/>
  <c r="L37" i="3"/>
  <c r="M37" i="3"/>
  <c r="N37" i="3"/>
  <c r="O37" i="3"/>
  <c r="D37" i="3"/>
  <c r="E34" i="3"/>
  <c r="F34" i="3"/>
  <c r="G34" i="3"/>
  <c r="H34" i="3"/>
  <c r="I34" i="3"/>
  <c r="J34" i="3"/>
  <c r="K34" i="3"/>
  <c r="L34" i="3"/>
  <c r="M34" i="3"/>
  <c r="N34" i="3"/>
  <c r="O34" i="3"/>
  <c r="D34" i="3"/>
  <c r="E27" i="3"/>
  <c r="F27" i="3"/>
  <c r="G27" i="3"/>
  <c r="H27" i="3"/>
  <c r="I27" i="3"/>
  <c r="J27" i="3"/>
  <c r="K27" i="3"/>
  <c r="L27" i="3"/>
  <c r="M27" i="3"/>
  <c r="N27" i="3"/>
  <c r="O27" i="3"/>
  <c r="D27" i="3"/>
  <c r="E24" i="3"/>
  <c r="F24" i="3"/>
  <c r="G24" i="3"/>
  <c r="H24" i="3"/>
  <c r="I24" i="3"/>
  <c r="J24" i="3"/>
  <c r="K24" i="3"/>
  <c r="L24" i="3"/>
  <c r="M24" i="3"/>
  <c r="N24" i="3"/>
  <c r="O24" i="3"/>
  <c r="O35" i="3"/>
  <c r="D24" i="3"/>
  <c r="E20" i="3"/>
  <c r="F20" i="3"/>
  <c r="G20" i="3"/>
  <c r="H20" i="3"/>
  <c r="I20" i="3"/>
  <c r="J20" i="3"/>
  <c r="J35" i="3"/>
  <c r="K20" i="3"/>
  <c r="K35" i="3"/>
  <c r="L20" i="3"/>
  <c r="M20" i="3"/>
  <c r="N20" i="3"/>
  <c r="O20" i="3"/>
  <c r="D20" i="3"/>
  <c r="F11" i="3"/>
  <c r="G11" i="3"/>
  <c r="H11" i="3"/>
  <c r="I11" i="3"/>
  <c r="J11" i="3"/>
  <c r="K11" i="3"/>
  <c r="L11" i="3"/>
  <c r="M11" i="3"/>
  <c r="N11" i="3"/>
  <c r="N35" i="3"/>
  <c r="O11" i="3"/>
  <c r="E11" i="3"/>
  <c r="E35" i="3"/>
  <c r="D11" i="3"/>
  <c r="D16" i="2"/>
  <c r="C16" i="2"/>
  <c r="G7" i="25"/>
  <c r="G8" i="25"/>
  <c r="K16" i="25"/>
  <c r="F16" i="25"/>
  <c r="F22" i="25"/>
  <c r="K22" i="25"/>
  <c r="K32" i="25"/>
  <c r="F32" i="25"/>
  <c r="G53" i="25"/>
  <c r="F54" i="25"/>
  <c r="G45" i="25"/>
  <c r="P75" i="3"/>
  <c r="P73" i="3" s="1"/>
  <c r="P74" i="3"/>
  <c r="P66" i="3"/>
  <c r="P67" i="3"/>
  <c r="P63" i="3"/>
  <c r="P62" i="3"/>
  <c r="P58" i="3"/>
  <c r="P59" i="3"/>
  <c r="P52" i="3"/>
  <c r="P53" i="3"/>
  <c r="P54" i="3"/>
  <c r="P49" i="3"/>
  <c r="P48" i="3"/>
  <c r="P43" i="3"/>
  <c r="P44" i="3"/>
  <c r="P38" i="3"/>
  <c r="P39" i="3"/>
  <c r="P40" i="3"/>
  <c r="P33" i="3"/>
  <c r="P32" i="3"/>
  <c r="P31" i="3"/>
  <c r="P30" i="3"/>
  <c r="P29" i="3"/>
  <c r="P28" i="3"/>
  <c r="P26" i="3"/>
  <c r="P25" i="3"/>
  <c r="P23" i="3"/>
  <c r="P22" i="3"/>
  <c r="P21" i="3"/>
  <c r="P13" i="3"/>
  <c r="P14" i="3"/>
  <c r="P15" i="3"/>
  <c r="P16" i="3"/>
  <c r="P17" i="3"/>
  <c r="P18" i="3"/>
  <c r="P19" i="3"/>
  <c r="P12" i="3"/>
  <c r="P6" i="3"/>
  <c r="P7" i="3"/>
  <c r="P8" i="3"/>
  <c r="P9" i="3"/>
  <c r="P10" i="3"/>
  <c r="P5" i="3"/>
  <c r="F7" i="25"/>
  <c r="K7" i="25"/>
  <c r="F8" i="25"/>
  <c r="K8" i="25"/>
  <c r="F21" i="25"/>
  <c r="G21" i="25"/>
  <c r="K21" i="25"/>
  <c r="P79" i="3"/>
  <c r="P80" i="3"/>
  <c r="P81" i="3"/>
  <c r="P82" i="3"/>
  <c r="P83" i="3"/>
  <c r="P84" i="3"/>
  <c r="D85" i="3"/>
  <c r="E85" i="3"/>
  <c r="E109" i="3"/>
  <c r="F85" i="3"/>
  <c r="G85" i="3"/>
  <c r="H85" i="3"/>
  <c r="I85" i="3"/>
  <c r="J85" i="3"/>
  <c r="K85" i="3"/>
  <c r="L85" i="3"/>
  <c r="M85" i="3"/>
  <c r="M109" i="3"/>
  <c r="N85" i="3"/>
  <c r="O85" i="3"/>
  <c r="P86" i="3"/>
  <c r="P87" i="3"/>
  <c r="P88" i="3"/>
  <c r="P89" i="3"/>
  <c r="P90" i="3"/>
  <c r="P91" i="3"/>
  <c r="P92" i="3"/>
  <c r="P93" i="3"/>
  <c r="D94" i="3"/>
  <c r="E94" i="3"/>
  <c r="F94" i="3"/>
  <c r="G94" i="3"/>
  <c r="H94" i="3"/>
  <c r="I94" i="3"/>
  <c r="I109" i="3"/>
  <c r="J94" i="3"/>
  <c r="K94" i="3"/>
  <c r="L94" i="3"/>
  <c r="M94" i="3"/>
  <c r="N94" i="3"/>
  <c r="O94" i="3"/>
  <c r="P95" i="3"/>
  <c r="P96" i="3"/>
  <c r="P98" i="3"/>
  <c r="P97" i="3"/>
  <c r="D98" i="3"/>
  <c r="E98" i="3"/>
  <c r="F98" i="3"/>
  <c r="G98" i="3"/>
  <c r="H98" i="3"/>
  <c r="I98" i="3"/>
  <c r="J98" i="3"/>
  <c r="K98" i="3"/>
  <c r="L98" i="3"/>
  <c r="M98" i="3"/>
  <c r="N98" i="3"/>
  <c r="O98" i="3"/>
  <c r="I99" i="3"/>
  <c r="P99" i="3"/>
  <c r="I100" i="3"/>
  <c r="P100" i="3"/>
  <c r="D101" i="3"/>
  <c r="D109" i="3"/>
  <c r="E101" i="3"/>
  <c r="F101" i="3"/>
  <c r="G101" i="3"/>
  <c r="H101" i="3"/>
  <c r="J101" i="3"/>
  <c r="K101" i="3"/>
  <c r="L101" i="3"/>
  <c r="L109" i="3"/>
  <c r="M101" i="3"/>
  <c r="N101" i="3"/>
  <c r="O101" i="3"/>
  <c r="P102" i="3"/>
  <c r="P103" i="3"/>
  <c r="P104" i="3"/>
  <c r="P105" i="3"/>
  <c r="P106" i="3"/>
  <c r="P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2" i="3"/>
  <c r="P113" i="3"/>
  <c r="P114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7" i="3"/>
  <c r="P118" i="3"/>
  <c r="P119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2" i="3"/>
  <c r="P123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6" i="3"/>
  <c r="P127" i="3"/>
  <c r="P128" i="3"/>
  <c r="P129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2" i="3"/>
  <c r="P133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6" i="3"/>
  <c r="P137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E31" i="2"/>
  <c r="H4" i="25"/>
  <c r="D25" i="2"/>
  <c r="D24" i="2"/>
  <c r="D23" i="2"/>
  <c r="E23" i="2"/>
  <c r="D22" i="2"/>
  <c r="E22" i="2"/>
  <c r="D21" i="2"/>
  <c r="D20" i="2"/>
  <c r="E30" i="2"/>
  <c r="H7" i="1"/>
  <c r="D27" i="2"/>
  <c r="E27" i="2"/>
  <c r="D29" i="2"/>
  <c r="E29" i="2"/>
  <c r="D28" i="2"/>
  <c r="E28" i="2"/>
  <c r="K7" i="1"/>
  <c r="D26" i="2"/>
  <c r="E26" i="2"/>
  <c r="G6" i="25"/>
  <c r="G9" i="25"/>
  <c r="G10" i="25"/>
  <c r="G55" i="25"/>
  <c r="G56" i="25"/>
  <c r="G58" i="25"/>
  <c r="F56" i="25"/>
  <c r="K56" i="25"/>
  <c r="G31" i="25"/>
  <c r="F31" i="25"/>
  <c r="E24" i="2"/>
  <c r="K6" i="1"/>
  <c r="F7" i="1"/>
  <c r="F6" i="1"/>
  <c r="K12" i="25"/>
  <c r="G12" i="25"/>
  <c r="F12" i="25"/>
  <c r="K13" i="25"/>
  <c r="G13" i="25"/>
  <c r="F13" i="25"/>
  <c r="K55" i="25"/>
  <c r="F58" i="25"/>
  <c r="F55" i="25"/>
  <c r="G50" i="25"/>
  <c r="F50" i="25"/>
  <c r="I4" i="25"/>
  <c r="P140" i="3"/>
  <c r="P141" i="3"/>
  <c r="P142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5" i="3"/>
  <c r="P146" i="3"/>
  <c r="K50" i="25"/>
  <c r="E25" i="2"/>
  <c r="G54" i="25"/>
  <c r="G22" i="25"/>
  <c r="G16" i="25"/>
  <c r="D64" i="2"/>
  <c r="C64" i="2"/>
  <c r="E63" i="2"/>
  <c r="E62" i="2"/>
  <c r="E61" i="2"/>
  <c r="E60" i="2"/>
  <c r="E59" i="2"/>
  <c r="E58" i="2"/>
  <c r="E57" i="2"/>
  <c r="E56" i="2"/>
  <c r="E55" i="2"/>
  <c r="E54" i="2"/>
  <c r="E53" i="2"/>
  <c r="E52" i="2"/>
  <c r="P150" i="3"/>
  <c r="D48" i="2"/>
  <c r="C48" i="2"/>
  <c r="E47" i="2"/>
  <c r="E46" i="2"/>
  <c r="E45" i="2"/>
  <c r="E44" i="2"/>
  <c r="E43" i="2"/>
  <c r="E42" i="2"/>
  <c r="E41" i="2"/>
  <c r="E40" i="2"/>
  <c r="E39" i="2"/>
  <c r="E38" i="2"/>
  <c r="E37" i="2"/>
  <c r="E36" i="2"/>
  <c r="O158" i="3"/>
  <c r="P175" i="3"/>
  <c r="G32" i="25"/>
  <c r="N158" i="3"/>
  <c r="P207" i="3"/>
  <c r="P206" i="3"/>
  <c r="P205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G62" i="25"/>
  <c r="F62" i="25"/>
  <c r="G59" i="25"/>
  <c r="F59" i="25"/>
  <c r="F53" i="25"/>
  <c r="G49" i="25"/>
  <c r="F49" i="25"/>
  <c r="J5" i="1"/>
  <c r="G44" i="25"/>
  <c r="F44" i="25"/>
  <c r="E180" i="3"/>
  <c r="F180" i="3"/>
  <c r="G180" i="3"/>
  <c r="H180" i="3"/>
  <c r="I180" i="3"/>
  <c r="J180" i="3"/>
  <c r="K180" i="3"/>
  <c r="L180" i="3"/>
  <c r="M180" i="3"/>
  <c r="N180" i="3"/>
  <c r="O180" i="3"/>
  <c r="D180" i="3"/>
  <c r="P183" i="3"/>
  <c r="J158" i="3"/>
  <c r="K158" i="3"/>
  <c r="L165" i="3"/>
  <c r="K165" i="3"/>
  <c r="K178" i="3"/>
  <c r="K168" i="3"/>
  <c r="K171" i="3"/>
  <c r="K177" i="3"/>
  <c r="K185" i="3"/>
  <c r="K189" i="3"/>
  <c r="K195" i="3"/>
  <c r="K199" i="3"/>
  <c r="K209" i="3"/>
  <c r="K213" i="3"/>
  <c r="J171" i="3"/>
  <c r="J196" i="3"/>
  <c r="P196" i="3"/>
  <c r="K227" i="3"/>
  <c r="L227" i="3"/>
  <c r="M227" i="3"/>
  <c r="N227" i="3"/>
  <c r="O227" i="3"/>
  <c r="K234" i="3"/>
  <c r="L234" i="3"/>
  <c r="M234" i="3"/>
  <c r="N234" i="3"/>
  <c r="O234" i="3"/>
  <c r="O236" i="3"/>
  <c r="P236" i="3"/>
  <c r="K237" i="3"/>
  <c r="L237" i="3"/>
  <c r="M237" i="3"/>
  <c r="N237" i="3"/>
  <c r="K240" i="3"/>
  <c r="L240" i="3"/>
  <c r="M240" i="3"/>
  <c r="N240" i="3"/>
  <c r="O240" i="3"/>
  <c r="O245" i="3"/>
  <c r="K244" i="3"/>
  <c r="L244" i="3"/>
  <c r="M244" i="3"/>
  <c r="N244" i="3"/>
  <c r="O244" i="3"/>
  <c r="K247" i="3"/>
  <c r="L247" i="3"/>
  <c r="M247" i="3"/>
  <c r="N247" i="3"/>
  <c r="O247" i="3"/>
  <c r="K251" i="3"/>
  <c r="L251" i="3"/>
  <c r="M251" i="3"/>
  <c r="N251" i="3"/>
  <c r="O251" i="3"/>
  <c r="K257" i="3"/>
  <c r="L257" i="3"/>
  <c r="M257" i="3"/>
  <c r="N257" i="3"/>
  <c r="O257" i="3"/>
  <c r="K261" i="3"/>
  <c r="L261" i="3"/>
  <c r="M261" i="3"/>
  <c r="N261" i="3"/>
  <c r="O261" i="3"/>
  <c r="K266" i="3"/>
  <c r="L266" i="3"/>
  <c r="M266" i="3"/>
  <c r="N266" i="3"/>
  <c r="O266" i="3"/>
  <c r="K270" i="3"/>
  <c r="L270" i="3"/>
  <c r="M270" i="3"/>
  <c r="N270" i="3"/>
  <c r="O270" i="3"/>
  <c r="K285" i="3"/>
  <c r="L285" i="3"/>
  <c r="M285" i="3"/>
  <c r="N285" i="3"/>
  <c r="O285" i="3"/>
  <c r="O303" i="3"/>
  <c r="K292" i="3"/>
  <c r="L292" i="3"/>
  <c r="M292" i="3"/>
  <c r="N292" i="3"/>
  <c r="O292" i="3"/>
  <c r="K295" i="3"/>
  <c r="L295" i="3"/>
  <c r="M295" i="3"/>
  <c r="N295" i="3"/>
  <c r="O295" i="3"/>
  <c r="K298" i="3"/>
  <c r="L298" i="3"/>
  <c r="M298" i="3"/>
  <c r="N298" i="3"/>
  <c r="O298" i="3"/>
  <c r="K302" i="3"/>
  <c r="L302" i="3"/>
  <c r="M302" i="3"/>
  <c r="N302" i="3"/>
  <c r="N303" i="3"/>
  <c r="O302" i="3"/>
  <c r="K305" i="3"/>
  <c r="L305" i="3"/>
  <c r="M305" i="3"/>
  <c r="N305" i="3"/>
  <c r="O305" i="3"/>
  <c r="K309" i="3"/>
  <c r="L309" i="3"/>
  <c r="M309" i="3"/>
  <c r="N309" i="3"/>
  <c r="O309" i="3"/>
  <c r="K314" i="3"/>
  <c r="L314" i="3"/>
  <c r="M314" i="3"/>
  <c r="N314" i="3"/>
  <c r="O314" i="3"/>
  <c r="K318" i="3"/>
  <c r="L318" i="3"/>
  <c r="M318" i="3"/>
  <c r="N318" i="3"/>
  <c r="O318" i="3"/>
  <c r="K322" i="3"/>
  <c r="L322" i="3"/>
  <c r="M322" i="3"/>
  <c r="N322" i="3"/>
  <c r="O322" i="3"/>
  <c r="K326" i="3"/>
  <c r="L326" i="3"/>
  <c r="M326" i="3"/>
  <c r="N326" i="3"/>
  <c r="O326" i="3"/>
  <c r="K341" i="3"/>
  <c r="L341" i="3"/>
  <c r="M341" i="3"/>
  <c r="N341" i="3"/>
  <c r="O341" i="3"/>
  <c r="K346" i="3"/>
  <c r="L346" i="3"/>
  <c r="M346" i="3"/>
  <c r="N346" i="3"/>
  <c r="O346" i="3"/>
  <c r="K349" i="3"/>
  <c r="L349" i="3"/>
  <c r="M349" i="3"/>
  <c r="N349" i="3"/>
  <c r="O349" i="3"/>
  <c r="K352" i="3"/>
  <c r="L352" i="3"/>
  <c r="M352" i="3"/>
  <c r="N352" i="3"/>
  <c r="O352" i="3"/>
  <c r="K356" i="3"/>
  <c r="K357" i="3"/>
  <c r="L356" i="3"/>
  <c r="M356" i="3"/>
  <c r="N356" i="3"/>
  <c r="O356" i="3"/>
  <c r="K359" i="3"/>
  <c r="L359" i="3"/>
  <c r="M359" i="3"/>
  <c r="N359" i="3"/>
  <c r="O359" i="3"/>
  <c r="K365" i="3"/>
  <c r="L365" i="3"/>
  <c r="M365" i="3"/>
  <c r="N365" i="3"/>
  <c r="O365" i="3"/>
  <c r="K370" i="3"/>
  <c r="L370" i="3"/>
  <c r="M370" i="3"/>
  <c r="N370" i="3"/>
  <c r="O370" i="3"/>
  <c r="K401" i="3"/>
  <c r="L401" i="3"/>
  <c r="M401" i="3"/>
  <c r="N401" i="3"/>
  <c r="O401" i="3"/>
  <c r="K403" i="3"/>
  <c r="L403" i="3"/>
  <c r="M403" i="3"/>
  <c r="N403" i="3"/>
  <c r="O403" i="3"/>
  <c r="K408" i="3"/>
  <c r="L408" i="3"/>
  <c r="M408" i="3"/>
  <c r="N408" i="3"/>
  <c r="O408" i="3"/>
  <c r="K413" i="3"/>
  <c r="L413" i="3"/>
  <c r="M413" i="3"/>
  <c r="N413" i="3"/>
  <c r="O413" i="3"/>
  <c r="K430" i="3"/>
  <c r="L430" i="3"/>
  <c r="M430" i="3"/>
  <c r="N430" i="3"/>
  <c r="O430" i="3"/>
  <c r="K435" i="3"/>
  <c r="L435" i="3"/>
  <c r="M435" i="3"/>
  <c r="N435" i="3"/>
  <c r="N445" i="3"/>
  <c r="O435" i="3"/>
  <c r="O445" i="3"/>
  <c r="K438" i="3"/>
  <c r="L438" i="3"/>
  <c r="M438" i="3"/>
  <c r="N438" i="3"/>
  <c r="O438" i="3"/>
  <c r="K441" i="3"/>
  <c r="L441" i="3"/>
  <c r="M441" i="3"/>
  <c r="M445" i="3"/>
  <c r="N441" i="3"/>
  <c r="O441" i="3"/>
  <c r="K444" i="3"/>
  <c r="L444" i="3"/>
  <c r="M444" i="3"/>
  <c r="O444" i="3"/>
  <c r="K447" i="3"/>
  <c r="L447" i="3"/>
  <c r="M447" i="3"/>
  <c r="N447" i="3"/>
  <c r="O447" i="3"/>
  <c r="K451" i="3"/>
  <c r="L451" i="3"/>
  <c r="M451" i="3"/>
  <c r="N451" i="3"/>
  <c r="O451" i="3"/>
  <c r="K456" i="3"/>
  <c r="L456" i="3"/>
  <c r="M456" i="3"/>
  <c r="N456" i="3"/>
  <c r="O456" i="3"/>
  <c r="K460" i="3"/>
  <c r="L460" i="3"/>
  <c r="M460" i="3"/>
  <c r="N460" i="3"/>
  <c r="O460" i="3"/>
  <c r="I170" i="3"/>
  <c r="I169" i="3"/>
  <c r="I151" i="3"/>
  <c r="I158" i="3"/>
  <c r="J227" i="3"/>
  <c r="J234" i="3"/>
  <c r="J237" i="3"/>
  <c r="J240" i="3"/>
  <c r="J244" i="3"/>
  <c r="J247" i="3"/>
  <c r="J251" i="3"/>
  <c r="J257" i="3"/>
  <c r="J261" i="3"/>
  <c r="J266" i="3"/>
  <c r="J270" i="3"/>
  <c r="I227" i="3"/>
  <c r="I234" i="3"/>
  <c r="I237" i="3"/>
  <c r="I240" i="3"/>
  <c r="I244" i="3"/>
  <c r="I247" i="3"/>
  <c r="I251" i="3"/>
  <c r="I257" i="3"/>
  <c r="I261" i="3"/>
  <c r="I266" i="3"/>
  <c r="I270" i="3"/>
  <c r="H170" i="3"/>
  <c r="H169" i="3"/>
  <c r="H171" i="3"/>
  <c r="H151" i="3"/>
  <c r="H158" i="3"/>
  <c r="H227" i="3"/>
  <c r="H245" i="3"/>
  <c r="H234" i="3"/>
  <c r="H237" i="3"/>
  <c r="H240" i="3"/>
  <c r="H244" i="3"/>
  <c r="H247" i="3"/>
  <c r="H251" i="3"/>
  <c r="H257" i="3"/>
  <c r="H261" i="3"/>
  <c r="H266" i="3"/>
  <c r="H270" i="3"/>
  <c r="H285" i="3"/>
  <c r="I285" i="3"/>
  <c r="J285" i="3"/>
  <c r="H292" i="3"/>
  <c r="I292" i="3"/>
  <c r="J292" i="3"/>
  <c r="H295" i="3"/>
  <c r="I295" i="3"/>
  <c r="J295" i="3"/>
  <c r="H298" i="3"/>
  <c r="I298" i="3"/>
  <c r="J298" i="3"/>
  <c r="H302" i="3"/>
  <c r="I302" i="3"/>
  <c r="J302" i="3"/>
  <c r="H305" i="3"/>
  <c r="I305" i="3"/>
  <c r="J305" i="3"/>
  <c r="H309" i="3"/>
  <c r="I309" i="3"/>
  <c r="J309" i="3"/>
  <c r="H314" i="3"/>
  <c r="I314" i="3"/>
  <c r="J314" i="3"/>
  <c r="H318" i="3"/>
  <c r="I318" i="3"/>
  <c r="J318" i="3"/>
  <c r="H322" i="3"/>
  <c r="I322" i="3"/>
  <c r="J322" i="3"/>
  <c r="H326" i="3"/>
  <c r="I326" i="3"/>
  <c r="J326" i="3"/>
  <c r="H341" i="3"/>
  <c r="I341" i="3"/>
  <c r="J341" i="3"/>
  <c r="H346" i="3"/>
  <c r="I346" i="3"/>
  <c r="J346" i="3"/>
  <c r="H349" i="3"/>
  <c r="I349" i="3"/>
  <c r="J349" i="3"/>
  <c r="J357" i="3"/>
  <c r="H352" i="3"/>
  <c r="I352" i="3"/>
  <c r="J352" i="3"/>
  <c r="H356" i="3"/>
  <c r="I356" i="3"/>
  <c r="J356" i="3"/>
  <c r="H359" i="3"/>
  <c r="I359" i="3"/>
  <c r="J359" i="3"/>
  <c r="H365" i="3"/>
  <c r="I365" i="3"/>
  <c r="J365" i="3"/>
  <c r="H370" i="3"/>
  <c r="I370" i="3"/>
  <c r="J370" i="3"/>
  <c r="H387" i="3"/>
  <c r="I387" i="3"/>
  <c r="H391" i="3"/>
  <c r="I391" i="3"/>
  <c r="H394" i="3"/>
  <c r="I394" i="3"/>
  <c r="H397" i="3"/>
  <c r="I397" i="3"/>
  <c r="H400" i="3"/>
  <c r="I400" i="3"/>
  <c r="J401" i="3"/>
  <c r="H403" i="3"/>
  <c r="I403" i="3"/>
  <c r="J403" i="3"/>
  <c r="H408" i="3"/>
  <c r="I408" i="3"/>
  <c r="J408" i="3"/>
  <c r="H413" i="3"/>
  <c r="I413" i="3"/>
  <c r="J413" i="3"/>
  <c r="H430" i="3"/>
  <c r="I430" i="3"/>
  <c r="J430" i="3"/>
  <c r="H435" i="3"/>
  <c r="I435" i="3"/>
  <c r="J435" i="3"/>
  <c r="H438" i="3"/>
  <c r="I438" i="3"/>
  <c r="J438" i="3"/>
  <c r="H441" i="3"/>
  <c r="I441" i="3"/>
  <c r="J441" i="3"/>
  <c r="H444" i="3"/>
  <c r="I444" i="3"/>
  <c r="J444" i="3"/>
  <c r="H447" i="3"/>
  <c r="I447" i="3"/>
  <c r="J447" i="3"/>
  <c r="H451" i="3"/>
  <c r="I451" i="3"/>
  <c r="J451" i="3"/>
  <c r="H456" i="3"/>
  <c r="I456" i="3"/>
  <c r="J456" i="3"/>
  <c r="H460" i="3"/>
  <c r="I460" i="3"/>
  <c r="J460" i="3"/>
  <c r="G170" i="3"/>
  <c r="G169" i="3"/>
  <c r="P182" i="3"/>
  <c r="P181" i="3"/>
  <c r="G151" i="3"/>
  <c r="G158" i="3"/>
  <c r="G178" i="3"/>
  <c r="G227" i="3"/>
  <c r="G234" i="3"/>
  <c r="G237" i="3"/>
  <c r="G240" i="3"/>
  <c r="G244" i="3"/>
  <c r="G247" i="3"/>
  <c r="G251" i="3"/>
  <c r="G257" i="3"/>
  <c r="G261" i="3"/>
  <c r="G266" i="3"/>
  <c r="G270" i="3"/>
  <c r="G285" i="3"/>
  <c r="G292" i="3"/>
  <c r="G295" i="3"/>
  <c r="G298" i="3"/>
  <c r="G302" i="3"/>
  <c r="G305" i="3"/>
  <c r="G309" i="3"/>
  <c r="G314" i="3"/>
  <c r="G318" i="3"/>
  <c r="G322" i="3"/>
  <c r="G326" i="3"/>
  <c r="G341" i="3"/>
  <c r="G346" i="3"/>
  <c r="G357" i="3"/>
  <c r="G349" i="3"/>
  <c r="G352" i="3"/>
  <c r="G356" i="3"/>
  <c r="G359" i="3"/>
  <c r="G365" i="3"/>
  <c r="G370" i="3"/>
  <c r="G387" i="3"/>
  <c r="G391" i="3"/>
  <c r="G401" i="3"/>
  <c r="G394" i="3"/>
  <c r="G397" i="3"/>
  <c r="G400" i="3"/>
  <c r="G403" i="3"/>
  <c r="G408" i="3"/>
  <c r="G413" i="3"/>
  <c r="G430" i="3"/>
  <c r="G435" i="3"/>
  <c r="G445" i="3"/>
  <c r="G438" i="3"/>
  <c r="G441" i="3"/>
  <c r="G444" i="3"/>
  <c r="G447" i="3"/>
  <c r="G451" i="3"/>
  <c r="G456" i="3"/>
  <c r="G460" i="3"/>
  <c r="P211" i="3"/>
  <c r="P210" i="3"/>
  <c r="O209" i="3"/>
  <c r="N209" i="3"/>
  <c r="M209" i="3"/>
  <c r="L209" i="3"/>
  <c r="J209" i="3"/>
  <c r="I209" i="3"/>
  <c r="H209" i="3"/>
  <c r="G209" i="3"/>
  <c r="F209" i="3"/>
  <c r="E209" i="3"/>
  <c r="D209" i="3"/>
  <c r="F170" i="3"/>
  <c r="F169" i="3"/>
  <c r="F167" i="3"/>
  <c r="F168" i="3"/>
  <c r="F160" i="3"/>
  <c r="F165" i="3"/>
  <c r="F173" i="3"/>
  <c r="F177" i="3"/>
  <c r="F157" i="3"/>
  <c r="P157" i="3"/>
  <c r="F155" i="3"/>
  <c r="P155" i="3"/>
  <c r="F153" i="3"/>
  <c r="P153" i="3"/>
  <c r="F151" i="3"/>
  <c r="F227" i="3"/>
  <c r="F234" i="3"/>
  <c r="F237" i="3"/>
  <c r="F240" i="3"/>
  <c r="F244" i="3"/>
  <c r="F247" i="3"/>
  <c r="F251" i="3"/>
  <c r="F257" i="3"/>
  <c r="F261" i="3"/>
  <c r="F266" i="3"/>
  <c r="F270" i="3"/>
  <c r="E170" i="3"/>
  <c r="E171" i="3"/>
  <c r="E169" i="3"/>
  <c r="E151" i="3"/>
  <c r="E158" i="3"/>
  <c r="G30" i="25"/>
  <c r="F30" i="25"/>
  <c r="D170" i="3"/>
  <c r="D169" i="3"/>
  <c r="P169" i="3"/>
  <c r="D151" i="3"/>
  <c r="D158" i="3"/>
  <c r="P174" i="3"/>
  <c r="P215" i="3"/>
  <c r="P214" i="3"/>
  <c r="O213" i="3"/>
  <c r="N213" i="3"/>
  <c r="M213" i="3"/>
  <c r="L213" i="3"/>
  <c r="J213" i="3"/>
  <c r="I213" i="3"/>
  <c r="H213" i="3"/>
  <c r="G213" i="3"/>
  <c r="F213" i="3"/>
  <c r="E213" i="3"/>
  <c r="D213" i="3"/>
  <c r="P202" i="3"/>
  <c r="P201" i="3"/>
  <c r="P200" i="3"/>
  <c r="O199" i="3"/>
  <c r="N199" i="3"/>
  <c r="M199" i="3"/>
  <c r="L199" i="3"/>
  <c r="J199" i="3"/>
  <c r="I199" i="3"/>
  <c r="H199" i="3"/>
  <c r="G199" i="3"/>
  <c r="F199" i="3"/>
  <c r="E199" i="3"/>
  <c r="D199" i="3"/>
  <c r="P197" i="3"/>
  <c r="P195" i="3"/>
  <c r="O195" i="3"/>
  <c r="N195" i="3"/>
  <c r="M195" i="3"/>
  <c r="L195" i="3"/>
  <c r="I195" i="3"/>
  <c r="H195" i="3"/>
  <c r="G195" i="3"/>
  <c r="F195" i="3"/>
  <c r="E195" i="3"/>
  <c r="D195" i="3"/>
  <c r="P193" i="3"/>
  <c r="P192" i="3"/>
  <c r="P191" i="3"/>
  <c r="P190" i="3"/>
  <c r="O189" i="3"/>
  <c r="N189" i="3"/>
  <c r="M189" i="3"/>
  <c r="L189" i="3"/>
  <c r="J189" i="3"/>
  <c r="I189" i="3"/>
  <c r="H189" i="3"/>
  <c r="G189" i="3"/>
  <c r="F189" i="3"/>
  <c r="E189" i="3"/>
  <c r="D189" i="3"/>
  <c r="P187" i="3"/>
  <c r="P186" i="3"/>
  <c r="O185" i="3"/>
  <c r="N185" i="3"/>
  <c r="M185" i="3"/>
  <c r="L185" i="3"/>
  <c r="J185" i="3"/>
  <c r="I185" i="3"/>
  <c r="H185" i="3"/>
  <c r="G185" i="3"/>
  <c r="F185" i="3"/>
  <c r="E185" i="3"/>
  <c r="D185" i="3"/>
  <c r="O177" i="3"/>
  <c r="N177" i="3"/>
  <c r="M177" i="3"/>
  <c r="M178" i="3"/>
  <c r="L177" i="3"/>
  <c r="J177" i="3"/>
  <c r="I177" i="3"/>
  <c r="H177" i="3"/>
  <c r="G177" i="3"/>
  <c r="E177" i="3"/>
  <c r="D177" i="3"/>
  <c r="P176" i="3"/>
  <c r="P172" i="3"/>
  <c r="O171" i="3"/>
  <c r="N171" i="3"/>
  <c r="M171" i="3"/>
  <c r="L171" i="3"/>
  <c r="N168" i="3"/>
  <c r="M168" i="3"/>
  <c r="L168" i="3"/>
  <c r="J168" i="3"/>
  <c r="I168" i="3"/>
  <c r="H168" i="3"/>
  <c r="G168" i="3"/>
  <c r="E168" i="3"/>
  <c r="D168" i="3"/>
  <c r="O168" i="3"/>
  <c r="P166" i="3"/>
  <c r="O165" i="3"/>
  <c r="O178" i="3"/>
  <c r="N165" i="3"/>
  <c r="M165" i="3"/>
  <c r="J165" i="3"/>
  <c r="I165" i="3"/>
  <c r="H165" i="3"/>
  <c r="G165" i="3"/>
  <c r="E165" i="3"/>
  <c r="D165" i="3"/>
  <c r="P164" i="3"/>
  <c r="P163" i="3"/>
  <c r="P162" i="3"/>
  <c r="P161" i="3"/>
  <c r="P159" i="3"/>
  <c r="M158" i="3"/>
  <c r="L158" i="3"/>
  <c r="L178" i="3"/>
  <c r="P156" i="3"/>
  <c r="P154" i="3"/>
  <c r="P152" i="3"/>
  <c r="C32" i="2"/>
  <c r="P272" i="3"/>
  <c r="P271" i="3"/>
  <c r="P270" i="3"/>
  <c r="E270" i="3"/>
  <c r="D270" i="3"/>
  <c r="E79" i="2"/>
  <c r="E78" i="2"/>
  <c r="E77" i="2"/>
  <c r="P319" i="3"/>
  <c r="P320" i="3"/>
  <c r="P312" i="3"/>
  <c r="P311" i="3"/>
  <c r="P310" i="3"/>
  <c r="P309" i="3"/>
  <c r="F309" i="3"/>
  <c r="E309" i="3"/>
  <c r="D309" i="3"/>
  <c r="P307" i="3"/>
  <c r="P306" i="3"/>
  <c r="F305" i="3"/>
  <c r="E305" i="3"/>
  <c r="D305" i="3"/>
  <c r="P259" i="3"/>
  <c r="P258" i="3"/>
  <c r="E257" i="3"/>
  <c r="D257" i="3"/>
  <c r="P249" i="3"/>
  <c r="P248" i="3"/>
  <c r="P247" i="3"/>
  <c r="E247" i="3"/>
  <c r="D247" i="3"/>
  <c r="G48" i="25"/>
  <c r="F48" i="25"/>
  <c r="E76" i="2"/>
  <c r="P263" i="3"/>
  <c r="P262" i="3"/>
  <c r="P264" i="3"/>
  <c r="E251" i="3"/>
  <c r="D251" i="3"/>
  <c r="P254" i="3"/>
  <c r="E75" i="2"/>
  <c r="P229" i="3"/>
  <c r="G14" i="25"/>
  <c r="F14" i="25"/>
  <c r="E74" i="2"/>
  <c r="E73" i="2"/>
  <c r="E72" i="2"/>
  <c r="E71" i="2"/>
  <c r="E70" i="2"/>
  <c r="F285" i="3"/>
  <c r="F292" i="3"/>
  <c r="F295" i="3"/>
  <c r="F298" i="3"/>
  <c r="F302" i="3"/>
  <c r="F314" i="3"/>
  <c r="F318" i="3"/>
  <c r="F322" i="3"/>
  <c r="F326" i="3"/>
  <c r="D80" i="2"/>
  <c r="C80" i="2"/>
  <c r="E69" i="2"/>
  <c r="E68" i="2"/>
  <c r="P268" i="3"/>
  <c r="P266" i="3"/>
  <c r="P267" i="3"/>
  <c r="E266" i="3"/>
  <c r="D266" i="3"/>
  <c r="E261" i="3"/>
  <c r="D261" i="3"/>
  <c r="P253" i="3"/>
  <c r="P252" i="3"/>
  <c r="P255" i="3"/>
  <c r="P251" i="3"/>
  <c r="E244" i="3"/>
  <c r="D244" i="3"/>
  <c r="P243" i="3"/>
  <c r="P242" i="3"/>
  <c r="P244" i="3"/>
  <c r="P241" i="3"/>
  <c r="E240" i="3"/>
  <c r="D240" i="3"/>
  <c r="P239" i="3"/>
  <c r="P240" i="3"/>
  <c r="P238" i="3"/>
  <c r="E237" i="3"/>
  <c r="D237" i="3"/>
  <c r="P235" i="3"/>
  <c r="P237" i="3"/>
  <c r="E234" i="3"/>
  <c r="D234" i="3"/>
  <c r="P233" i="3"/>
  <c r="P232" i="3"/>
  <c r="P234" i="3"/>
  <c r="P231" i="3"/>
  <c r="P230" i="3"/>
  <c r="P228" i="3"/>
  <c r="E227" i="3"/>
  <c r="D227" i="3"/>
  <c r="P226" i="3"/>
  <c r="P225" i="3"/>
  <c r="P224" i="3"/>
  <c r="P223" i="3"/>
  <c r="P222" i="3"/>
  <c r="P221" i="3"/>
  <c r="P220" i="3"/>
  <c r="P219" i="3"/>
  <c r="P290" i="3"/>
  <c r="E95" i="2"/>
  <c r="P328" i="3"/>
  <c r="P326" i="3"/>
  <c r="P327" i="3"/>
  <c r="E326" i="3"/>
  <c r="D326" i="3"/>
  <c r="E94" i="2"/>
  <c r="E5" i="1"/>
  <c r="E92" i="2"/>
  <c r="E93" i="2"/>
  <c r="E91" i="2"/>
  <c r="E90" i="2"/>
  <c r="E318" i="3"/>
  <c r="D318" i="3"/>
  <c r="E89" i="2"/>
  <c r="E88" i="2"/>
  <c r="E87" i="2"/>
  <c r="P288" i="3"/>
  <c r="F17" i="25"/>
  <c r="G17" i="25"/>
  <c r="E86" i="2"/>
  <c r="F337" i="3"/>
  <c r="F341" i="3"/>
  <c r="F339" i="3"/>
  <c r="P339" i="3"/>
  <c r="F346" i="3"/>
  <c r="F349" i="3"/>
  <c r="F352" i="3"/>
  <c r="F356" i="3"/>
  <c r="F359" i="3"/>
  <c r="F365" i="3"/>
  <c r="F370" i="3"/>
  <c r="F387" i="3"/>
  <c r="F391" i="3"/>
  <c r="F394" i="3"/>
  <c r="F397" i="3"/>
  <c r="F400" i="3"/>
  <c r="F403" i="3"/>
  <c r="F408" i="3"/>
  <c r="F413" i="3"/>
  <c r="F430" i="3"/>
  <c r="F435" i="3"/>
  <c r="F445" i="3"/>
  <c r="F438" i="3"/>
  <c r="F441" i="3"/>
  <c r="F444" i="3"/>
  <c r="F447" i="3"/>
  <c r="F451" i="3"/>
  <c r="F456" i="3"/>
  <c r="F460" i="3"/>
  <c r="P324" i="3"/>
  <c r="P322" i="3"/>
  <c r="P323" i="3"/>
  <c r="E322" i="3"/>
  <c r="D322" i="3"/>
  <c r="K36" i="25"/>
  <c r="G36" i="25"/>
  <c r="F36" i="25"/>
  <c r="D96" i="2"/>
  <c r="E341" i="3"/>
  <c r="E346" i="3"/>
  <c r="E349" i="3"/>
  <c r="E352" i="3"/>
  <c r="E356" i="3"/>
  <c r="E359" i="3"/>
  <c r="E365" i="3"/>
  <c r="E370" i="3"/>
  <c r="D296" i="3"/>
  <c r="P296" i="3"/>
  <c r="D297" i="3"/>
  <c r="P297" i="3"/>
  <c r="D283" i="3"/>
  <c r="P283" i="3"/>
  <c r="D281" i="3"/>
  <c r="P281" i="3"/>
  <c r="P316" i="3"/>
  <c r="P315" i="3"/>
  <c r="P314" i="3"/>
  <c r="E314" i="3"/>
  <c r="D314" i="3"/>
  <c r="E302" i="3"/>
  <c r="D302" i="3"/>
  <c r="P301" i="3"/>
  <c r="P300" i="3"/>
  <c r="P299" i="3"/>
  <c r="E298" i="3"/>
  <c r="E295" i="3"/>
  <c r="D295" i="3"/>
  <c r="P294" i="3"/>
  <c r="P293" i="3"/>
  <c r="E292" i="3"/>
  <c r="D292" i="3"/>
  <c r="P291" i="3"/>
  <c r="P289" i="3"/>
  <c r="P287" i="3"/>
  <c r="P286" i="3"/>
  <c r="E285" i="3"/>
  <c r="P284" i="3"/>
  <c r="P282" i="3"/>
  <c r="P280" i="3"/>
  <c r="P279" i="3"/>
  <c r="P278" i="3"/>
  <c r="P277" i="3"/>
  <c r="P276" i="3"/>
  <c r="E111" i="2"/>
  <c r="E110" i="2"/>
  <c r="E109" i="2"/>
  <c r="E108" i="2"/>
  <c r="D356" i="3"/>
  <c r="P353" i="3"/>
  <c r="G28" i="25"/>
  <c r="F28" i="25"/>
  <c r="E107" i="2"/>
  <c r="P343" i="3"/>
  <c r="G15" i="25"/>
  <c r="F15" i="25"/>
  <c r="P376" i="3"/>
  <c r="P377" i="3"/>
  <c r="P378" i="3"/>
  <c r="P379" i="3"/>
  <c r="P380" i="3"/>
  <c r="P381" i="3"/>
  <c r="P382" i="3"/>
  <c r="P383" i="3"/>
  <c r="P384" i="3"/>
  <c r="P385" i="3"/>
  <c r="P386" i="3"/>
  <c r="P388" i="3"/>
  <c r="P389" i="3"/>
  <c r="P390" i="3"/>
  <c r="P392" i="3"/>
  <c r="P393" i="3"/>
  <c r="P395" i="3"/>
  <c r="P396" i="3"/>
  <c r="P398" i="3"/>
  <c r="P399" i="3"/>
  <c r="P404" i="3"/>
  <c r="P405" i="3"/>
  <c r="P406" i="3"/>
  <c r="P409" i="3"/>
  <c r="P410" i="3"/>
  <c r="P408" i="3"/>
  <c r="P411" i="3"/>
  <c r="P414" i="3"/>
  <c r="P413" i="3"/>
  <c r="P415" i="3"/>
  <c r="E106" i="2"/>
  <c r="P361" i="3"/>
  <c r="E105" i="2"/>
  <c r="E413" i="3"/>
  <c r="D413" i="3"/>
  <c r="E403" i="3"/>
  <c r="D403" i="3"/>
  <c r="E408" i="3"/>
  <c r="D408" i="3"/>
  <c r="E400" i="3"/>
  <c r="D400" i="3"/>
  <c r="P400" i="3"/>
  <c r="E397" i="3"/>
  <c r="D397" i="3"/>
  <c r="E394" i="3"/>
  <c r="P394" i="3"/>
  <c r="D394" i="3"/>
  <c r="E391" i="3"/>
  <c r="D391" i="3"/>
  <c r="E387" i="3"/>
  <c r="D387" i="3"/>
  <c r="E104" i="2"/>
  <c r="P363" i="3"/>
  <c r="E103" i="2"/>
  <c r="P351" i="3"/>
  <c r="P350" i="3"/>
  <c r="E102" i="2"/>
  <c r="E101" i="2"/>
  <c r="P372" i="3"/>
  <c r="P371" i="3"/>
  <c r="D370" i="3"/>
  <c r="P362" i="3"/>
  <c r="P359" i="3"/>
  <c r="P360" i="3"/>
  <c r="D359" i="3"/>
  <c r="P368" i="3"/>
  <c r="P367" i="3"/>
  <c r="P366" i="3"/>
  <c r="D365" i="3"/>
  <c r="P355" i="3"/>
  <c r="P354" i="3"/>
  <c r="D352" i="3"/>
  <c r="D349" i="3"/>
  <c r="P348" i="3"/>
  <c r="P347" i="3"/>
  <c r="D346" i="3"/>
  <c r="P345" i="3"/>
  <c r="P344" i="3"/>
  <c r="P342" i="3"/>
  <c r="P346" i="3"/>
  <c r="D341" i="3"/>
  <c r="P340" i="3"/>
  <c r="P338" i="3"/>
  <c r="P336" i="3"/>
  <c r="P335" i="3"/>
  <c r="P334" i="3"/>
  <c r="P333" i="3"/>
  <c r="P332" i="3"/>
  <c r="C96" i="2"/>
  <c r="E85" i="2"/>
  <c r="E84" i="2"/>
  <c r="G47" i="25"/>
  <c r="F47" i="25"/>
  <c r="E430" i="3"/>
  <c r="E435" i="3"/>
  <c r="E438" i="3"/>
  <c r="E441" i="3"/>
  <c r="E444" i="3"/>
  <c r="E447" i="3"/>
  <c r="E451" i="3"/>
  <c r="E456" i="3"/>
  <c r="E460" i="3"/>
  <c r="F10" i="25"/>
  <c r="P462" i="3"/>
  <c r="P460" i="3"/>
  <c r="P461" i="3"/>
  <c r="D460" i="3"/>
  <c r="P458" i="3"/>
  <c r="P457" i="3"/>
  <c r="D456" i="3"/>
  <c r="P454" i="3"/>
  <c r="P453" i="3"/>
  <c r="P452" i="3"/>
  <c r="D451" i="3"/>
  <c r="P449" i="3"/>
  <c r="P448" i="3"/>
  <c r="P447" i="3"/>
  <c r="D447" i="3"/>
  <c r="D444" i="3"/>
  <c r="P443" i="3"/>
  <c r="P442" i="3"/>
  <c r="P444" i="3"/>
  <c r="D441" i="3"/>
  <c r="P440" i="3"/>
  <c r="P439" i="3"/>
  <c r="D438" i="3"/>
  <c r="P437" i="3"/>
  <c r="P436" i="3"/>
  <c r="P438" i="3"/>
  <c r="D435" i="3"/>
  <c r="P434" i="3"/>
  <c r="P433" i="3"/>
  <c r="P432" i="3"/>
  <c r="P431" i="3"/>
  <c r="D430" i="3"/>
  <c r="P429" i="3"/>
  <c r="P428" i="3"/>
  <c r="P427" i="3"/>
  <c r="P426" i="3"/>
  <c r="P425" i="3"/>
  <c r="P424" i="3"/>
  <c r="P423" i="3"/>
  <c r="P422" i="3"/>
  <c r="P421" i="3"/>
  <c r="P420" i="3"/>
  <c r="P430" i="3"/>
  <c r="P419" i="3"/>
  <c r="G29" i="25"/>
  <c r="F29" i="25"/>
  <c r="G33" i="25"/>
  <c r="F33" i="25"/>
  <c r="G46" i="25"/>
  <c r="F46" i="25"/>
  <c r="F45" i="25"/>
  <c r="G26" i="25"/>
  <c r="F26" i="25"/>
  <c r="G25" i="25"/>
  <c r="F25" i="25"/>
  <c r="G23" i="25"/>
  <c r="F23" i="25"/>
  <c r="G19" i="25"/>
  <c r="F19" i="25"/>
  <c r="G18" i="25"/>
  <c r="F18" i="25"/>
  <c r="F6" i="25"/>
  <c r="G5" i="25"/>
  <c r="F5" i="25"/>
  <c r="C112" i="2"/>
  <c r="H6" i="1"/>
  <c r="I5" i="1"/>
  <c r="I4" i="1"/>
  <c r="J4" i="1"/>
  <c r="E4" i="1"/>
  <c r="F9" i="25"/>
  <c r="H42" i="25"/>
  <c r="E100" i="2"/>
  <c r="E112" i="2"/>
  <c r="K29" i="25"/>
  <c r="K25" i="25"/>
  <c r="K11" i="25"/>
  <c r="K9" i="25"/>
  <c r="K18" i="25"/>
  <c r="K14" i="25"/>
  <c r="K20" i="25"/>
  <c r="K27" i="25"/>
  <c r="K30" i="25"/>
  <c r="K6" i="25"/>
  <c r="K23" i="25"/>
  <c r="K17" i="25"/>
  <c r="K5" i="25"/>
  <c r="K19" i="25"/>
  <c r="K10" i="25"/>
  <c r="K33" i="25"/>
  <c r="K15" i="25"/>
  <c r="K26" i="25"/>
  <c r="K28" i="25"/>
  <c r="K49" i="25"/>
  <c r="K59" i="25"/>
  <c r="K54" i="25"/>
  <c r="K45" i="25"/>
  <c r="K48" i="25"/>
  <c r="K53" i="25"/>
  <c r="K47" i="25"/>
  <c r="K44" i="25"/>
  <c r="K62" i="25"/>
  <c r="K46" i="25"/>
  <c r="K58" i="25"/>
  <c r="F24" i="25"/>
  <c r="G34" i="25"/>
  <c r="G27" i="25"/>
  <c r="F27" i="25"/>
  <c r="E21" i="2"/>
  <c r="P173" i="3"/>
  <c r="P177" i="3"/>
  <c r="F171" i="3"/>
  <c r="P352" i="3"/>
  <c r="F52" i="25"/>
  <c r="G52" i="25"/>
  <c r="F43" i="25"/>
  <c r="K31" i="25"/>
  <c r="P204" i="3"/>
  <c r="P185" i="3"/>
  <c r="P257" i="3"/>
  <c r="P295" i="3"/>
  <c r="L245" i="3"/>
  <c r="P180" i="3"/>
  <c r="I101" i="3"/>
  <c r="D32" i="2"/>
  <c r="E20" i="2"/>
  <c r="E32" i="2"/>
  <c r="O237" i="3"/>
  <c r="P302" i="3"/>
  <c r="P370" i="3"/>
  <c r="K43" i="25"/>
  <c r="K38" i="25"/>
  <c r="F38" i="25"/>
  <c r="J195" i="3"/>
  <c r="K445" i="3"/>
  <c r="P337" i="3"/>
  <c r="E245" i="3"/>
  <c r="P189" i="3"/>
  <c r="D401" i="3"/>
  <c r="P116" i="3"/>
  <c r="H109" i="3"/>
  <c r="P61" i="3"/>
  <c r="L303" i="3"/>
  <c r="I357" i="3"/>
  <c r="D245" i="3"/>
  <c r="H303" i="3"/>
  <c r="F109" i="3"/>
  <c r="P305" i="3"/>
  <c r="I245" i="3"/>
  <c r="M35" i="3"/>
  <c r="D357" i="3"/>
  <c r="N109" i="3"/>
  <c r="M245" i="3"/>
  <c r="P441" i="3"/>
  <c r="P131" i="3"/>
  <c r="P151" i="3"/>
  <c r="P403" i="3"/>
  <c r="G171" i="3"/>
  <c r="M357" i="3"/>
  <c r="J178" i="3"/>
  <c r="D285" i="3"/>
  <c r="P65" i="3"/>
  <c r="F35" i="3"/>
  <c r="F61" i="25"/>
  <c r="G38" i="25"/>
  <c r="F64" i="25"/>
  <c r="G64" i="25"/>
  <c r="F11" i="25"/>
  <c r="E16" i="2"/>
  <c r="K35" i="25"/>
  <c r="F8" i="1"/>
  <c r="K24" i="25"/>
  <c r="K34" i="25"/>
  <c r="G35" i="25"/>
  <c r="P51" i="3"/>
  <c r="P47" i="3"/>
  <c r="D445" i="3"/>
  <c r="P356" i="3"/>
  <c r="P292" i="3"/>
  <c r="E303" i="3"/>
  <c r="P341" i="3"/>
  <c r="I303" i="3"/>
  <c r="H178" i="3"/>
  <c r="J245" i="3"/>
  <c r="P144" i="3"/>
  <c r="P139" i="3"/>
  <c r="P135" i="3"/>
  <c r="P125" i="3"/>
  <c r="P121" i="3"/>
  <c r="P111" i="3"/>
  <c r="J109" i="3"/>
  <c r="P108" i="3"/>
  <c r="G35" i="3"/>
  <c r="P387" i="3"/>
  <c r="F357" i="3"/>
  <c r="N178" i="3"/>
  <c r="P160" i="3"/>
  <c r="P165" i="3"/>
  <c r="P456" i="3"/>
  <c r="P318" i="3"/>
  <c r="P213" i="3"/>
  <c r="G303" i="3"/>
  <c r="I401" i="3"/>
  <c r="J303" i="3"/>
  <c r="I171" i="3"/>
  <c r="O357" i="3"/>
  <c r="L357" i="3"/>
  <c r="N245" i="3"/>
  <c r="K245" i="3"/>
  <c r="E401" i="3"/>
  <c r="P227" i="3"/>
  <c r="P245" i="3"/>
  <c r="F303" i="3"/>
  <c r="P261" i="3"/>
  <c r="E178" i="3"/>
  <c r="H401" i="3"/>
  <c r="H357" i="3"/>
  <c r="P349" i="3"/>
  <c r="P365" i="3"/>
  <c r="P199" i="3"/>
  <c r="K303" i="3"/>
  <c r="M303" i="3"/>
  <c r="P435" i="3"/>
  <c r="P445" i="3"/>
  <c r="E445" i="3"/>
  <c r="P298" i="3"/>
  <c r="E357" i="3"/>
  <c r="P397" i="3"/>
  <c r="F245" i="3"/>
  <c r="J445" i="3"/>
  <c r="K109" i="3"/>
  <c r="P94" i="3"/>
  <c r="O109" i="3"/>
  <c r="G109" i="3"/>
  <c r="P85" i="3"/>
  <c r="P451" i="3"/>
  <c r="P209" i="3"/>
  <c r="G245" i="3"/>
  <c r="H445" i="3"/>
  <c r="I445" i="3"/>
  <c r="L445" i="3"/>
  <c r="N357" i="3"/>
  <c r="L35" i="3"/>
  <c r="D35" i="3"/>
  <c r="P34" i="3"/>
  <c r="P357" i="3"/>
  <c r="P285" i="3"/>
  <c r="P303" i="3"/>
  <c r="I178" i="3"/>
  <c r="P101" i="3"/>
  <c r="P109" i="3"/>
  <c r="P158" i="3"/>
  <c r="D171" i="3"/>
  <c r="D178" i="3"/>
  <c r="F401" i="3"/>
  <c r="P167" i="3"/>
  <c r="P168" i="3"/>
  <c r="P20" i="3"/>
  <c r="P170" i="3"/>
  <c r="P171" i="3"/>
  <c r="P27" i="3"/>
  <c r="P391" i="3"/>
  <c r="P401" i="3"/>
  <c r="F158" i="3"/>
  <c r="F178" i="3"/>
  <c r="D298" i="3"/>
  <c r="D303" i="3"/>
  <c r="P24" i="3"/>
  <c r="H35" i="3"/>
  <c r="P178" i="3"/>
  <c r="F20" i="25"/>
  <c r="G20" i="25"/>
  <c r="E96" i="2"/>
  <c r="E80" i="2"/>
  <c r="E48" i="2"/>
  <c r="E64" i="2"/>
  <c r="P57" i="3" l="1"/>
  <c r="P37" i="3"/>
  <c r="I35" i="3"/>
  <c r="P11" i="3"/>
  <c r="P35" i="3" s="1"/>
</calcChain>
</file>

<file path=xl/sharedStrings.xml><?xml version="1.0" encoding="utf-8"?>
<sst xmlns="http://schemas.openxmlformats.org/spreadsheetml/2006/main" count="652" uniqueCount="203">
  <si>
    <t>계</t>
    <phoneticPr fontId="2" type="noConversion"/>
  </si>
  <si>
    <t>차    종</t>
    <phoneticPr fontId="2" type="noConversion"/>
  </si>
  <si>
    <t>총      계</t>
    <phoneticPr fontId="2" type="noConversion"/>
  </si>
  <si>
    <t>i30</t>
    <phoneticPr fontId="2" type="noConversion"/>
  </si>
  <si>
    <t>제네시스</t>
    <phoneticPr fontId="2" type="noConversion"/>
  </si>
  <si>
    <t>제네시스쿠페</t>
    <phoneticPr fontId="2" type="noConversion"/>
  </si>
  <si>
    <t>에쿠스</t>
    <phoneticPr fontId="2" type="noConversion"/>
  </si>
  <si>
    <t>투싼ix</t>
    <phoneticPr fontId="2" type="noConversion"/>
  </si>
  <si>
    <t>싼타페</t>
    <phoneticPr fontId="2" type="noConversion"/>
  </si>
  <si>
    <t>소상</t>
    <phoneticPr fontId="2" type="noConversion"/>
  </si>
  <si>
    <t>대형</t>
    <phoneticPr fontId="2" type="noConversion"/>
  </si>
  <si>
    <t>스타렉스</t>
    <phoneticPr fontId="2" type="noConversion"/>
  </si>
  <si>
    <t>포터</t>
    <phoneticPr fontId="2" type="noConversion"/>
  </si>
  <si>
    <t>버스</t>
    <phoneticPr fontId="2" type="noConversion"/>
  </si>
  <si>
    <t>트럭</t>
    <phoneticPr fontId="2" type="noConversion"/>
  </si>
  <si>
    <t>해외</t>
    <phoneticPr fontId="2" type="noConversion"/>
  </si>
  <si>
    <t>국내</t>
    <phoneticPr fontId="2" type="noConversion"/>
  </si>
  <si>
    <t xml:space="preserve">              </t>
  </si>
  <si>
    <t>차종</t>
  </si>
  <si>
    <t>스타렉스</t>
  </si>
  <si>
    <t>포터</t>
  </si>
  <si>
    <t>엑센트</t>
    <phoneticPr fontId="2" type="noConversion"/>
  </si>
  <si>
    <t>벨로스터</t>
    <phoneticPr fontId="2" type="noConversion"/>
  </si>
  <si>
    <t>하이브리드</t>
    <phoneticPr fontId="2" type="noConversion"/>
  </si>
  <si>
    <t>아반떼</t>
    <phoneticPr fontId="2" type="noConversion"/>
  </si>
  <si>
    <t>쏘나타</t>
    <phoneticPr fontId="2" type="noConversion"/>
  </si>
  <si>
    <t>YF</t>
    <phoneticPr fontId="2" type="noConversion"/>
  </si>
  <si>
    <t>그랜저</t>
    <phoneticPr fontId="2" type="noConversion"/>
  </si>
  <si>
    <t>MD</t>
    <phoneticPr fontId="2" type="noConversion"/>
  </si>
  <si>
    <t>전월대비
(%)</t>
    <phoneticPr fontId="38" type="noConversion"/>
  </si>
  <si>
    <t>전년
누계대비
(%)</t>
    <phoneticPr fontId="38" type="noConversion"/>
  </si>
  <si>
    <t>벨로스터</t>
    <phoneticPr fontId="38" type="noConversion"/>
  </si>
  <si>
    <t>i30</t>
    <phoneticPr fontId="38" type="noConversion"/>
  </si>
  <si>
    <t>RV 계</t>
    <phoneticPr fontId="38" type="noConversion"/>
  </si>
  <si>
    <t>소상 계</t>
    <phoneticPr fontId="38" type="noConversion"/>
  </si>
  <si>
    <t>버스</t>
    <phoneticPr fontId="38" type="noConversion"/>
  </si>
  <si>
    <t>대형 계</t>
    <phoneticPr fontId="38" type="noConversion"/>
  </si>
  <si>
    <t>국내 판매 계</t>
    <phoneticPr fontId="38" type="noConversion"/>
  </si>
  <si>
    <t>해외 판매 계</t>
    <phoneticPr fontId="2" type="noConversion"/>
  </si>
  <si>
    <t>완성차 계</t>
    <phoneticPr fontId="38" type="noConversion"/>
  </si>
  <si>
    <t>구  분</t>
    <phoneticPr fontId="2" type="noConversion"/>
  </si>
  <si>
    <t>전년동월
대비 (%)</t>
    <phoneticPr fontId="2" type="noConversion"/>
  </si>
  <si>
    <t>전월
대비 (%)</t>
    <phoneticPr fontId="2" type="noConversion"/>
  </si>
  <si>
    <t>전년누계
대비 (%)</t>
    <phoneticPr fontId="2" type="noConversion"/>
  </si>
  <si>
    <t>i40</t>
    <phoneticPr fontId="2" type="noConversion"/>
  </si>
  <si>
    <t>RV</t>
    <phoneticPr fontId="2" type="noConversion"/>
  </si>
  <si>
    <t>승용</t>
    <phoneticPr fontId="2" type="noConversion"/>
  </si>
  <si>
    <t>전년동월
대비</t>
    <phoneticPr fontId="2" type="noConversion"/>
  </si>
  <si>
    <t>전월
대비</t>
    <phoneticPr fontId="2" type="noConversion"/>
  </si>
  <si>
    <t>국내</t>
    <phoneticPr fontId="2" type="noConversion"/>
  </si>
  <si>
    <t>계</t>
    <phoneticPr fontId="2" type="noConversion"/>
  </si>
  <si>
    <t>맥스크루즈</t>
    <phoneticPr fontId="2" type="noConversion"/>
  </si>
  <si>
    <t>HG</t>
    <phoneticPr fontId="2" type="noConversion"/>
  </si>
  <si>
    <t>LF</t>
    <phoneticPr fontId="2" type="noConversion"/>
  </si>
  <si>
    <t>-</t>
    <phoneticPr fontId="2" type="noConversion"/>
  </si>
  <si>
    <t>베라크루즈</t>
    <phoneticPr fontId="2" type="noConversion"/>
  </si>
  <si>
    <t>아슬란</t>
    <phoneticPr fontId="2" type="noConversion"/>
  </si>
  <si>
    <t>LF 하이브리드</t>
    <phoneticPr fontId="2" type="noConversion"/>
  </si>
  <si>
    <t>※ 2015년</t>
    <phoneticPr fontId="2" type="noConversion"/>
  </si>
  <si>
    <t>전년
동월대비
(%)</t>
    <phoneticPr fontId="2" type="noConversion"/>
  </si>
  <si>
    <t>투싼</t>
    <phoneticPr fontId="2" type="noConversion"/>
  </si>
  <si>
    <t>신형 투싼</t>
    <phoneticPr fontId="2" type="noConversion"/>
  </si>
  <si>
    <t>AD</t>
    <phoneticPr fontId="2" type="noConversion"/>
  </si>
  <si>
    <t>·</t>
    <phoneticPr fontId="2" type="noConversion"/>
  </si>
  <si>
    <t>제네시스 계</t>
    <phoneticPr fontId="38" type="noConversion"/>
  </si>
  <si>
    <t>EQ900</t>
    <phoneticPr fontId="2" type="noConversion"/>
  </si>
  <si>
    <t>DH제네시스</t>
    <phoneticPr fontId="2" type="noConversion"/>
  </si>
  <si>
    <t>2016년</t>
    <phoneticPr fontId="2" type="noConversion"/>
  </si>
  <si>
    <t>※ 2016년</t>
    <phoneticPr fontId="2" type="noConversion"/>
  </si>
  <si>
    <t>아이오닉</t>
    <phoneticPr fontId="2" type="noConversion"/>
  </si>
  <si>
    <t>2월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</si>
  <si>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</si>
  <si>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</si>
  <si>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</si>
  <si>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아이오닉</t>
    <phoneticPr fontId="2" type="noConversion"/>
  </si>
  <si>
    <t>전기차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</si>
  <si>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</si>
  <si>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</si>
  <si>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</si>
  <si>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</si>
  <si>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IG</t>
    <phoneticPr fontId="2" type="noConversion"/>
  </si>
  <si>
    <t>11월</t>
    <phoneticPr fontId="2" type="noConversion"/>
  </si>
  <si>
    <t>12월</t>
    <phoneticPr fontId="2" type="noConversion"/>
  </si>
  <si>
    <t>2017년</t>
    <phoneticPr fontId="2" type="noConversion"/>
  </si>
  <si>
    <t>※ 2017년</t>
    <phoneticPr fontId="2" type="noConversion"/>
  </si>
  <si>
    <t>하이브리드(HG)</t>
    <phoneticPr fontId="2" type="noConversion"/>
  </si>
  <si>
    <t>하이브리드(IG)</t>
    <phoneticPr fontId="2" type="noConversion"/>
  </si>
  <si>
    <t>차    종</t>
  </si>
  <si>
    <t>계</t>
  </si>
  <si>
    <t>승용</t>
  </si>
  <si>
    <t>엑센트</t>
  </si>
  <si>
    <t>벨로스터</t>
  </si>
  <si>
    <t>아반떼</t>
  </si>
  <si>
    <t>아이오닉</t>
  </si>
  <si>
    <t>i30</t>
  </si>
  <si>
    <t>쏘나타</t>
  </si>
  <si>
    <t>i40</t>
  </si>
  <si>
    <t>그랜저</t>
  </si>
  <si>
    <t>아슬란</t>
  </si>
  <si>
    <t>제네시스쿠페</t>
  </si>
  <si>
    <t>에쿠스</t>
  </si>
  <si>
    <t>RV</t>
  </si>
  <si>
    <t>투싼</t>
  </si>
  <si>
    <t>싼타페</t>
  </si>
  <si>
    <t>맥스크루즈</t>
  </si>
  <si>
    <t>소상</t>
  </si>
  <si>
    <t>대형</t>
  </si>
  <si>
    <t>버스</t>
  </si>
  <si>
    <t>트럭</t>
  </si>
  <si>
    <t>제네시스</t>
  </si>
  <si>
    <t>G80/제네시스</t>
  </si>
  <si>
    <t>EQ900</t>
  </si>
  <si>
    <t>총      계</t>
  </si>
  <si>
    <t>전년누계
대비</t>
    <phoneticPr fontId="2" type="noConversion"/>
  </si>
  <si>
    <t>코나</t>
    <phoneticPr fontId="2" type="noConversion"/>
  </si>
  <si>
    <t>코나</t>
    <phoneticPr fontId="2" type="noConversion"/>
  </si>
  <si>
    <t>G70</t>
    <phoneticPr fontId="2" type="noConversion"/>
  </si>
  <si>
    <t>G70</t>
    <phoneticPr fontId="2" type="noConversion"/>
  </si>
  <si>
    <t>G80</t>
    <phoneticPr fontId="2" type="noConversion"/>
  </si>
  <si>
    <t>해외</t>
    <phoneticPr fontId="2" type="noConversion"/>
  </si>
  <si>
    <t>2018년</t>
    <phoneticPr fontId="2" type="noConversion"/>
  </si>
  <si>
    <t>※ 2018년</t>
    <phoneticPr fontId="2" type="noConversion"/>
  </si>
  <si>
    <t>싼타페</t>
    <phoneticPr fontId="2" type="noConversion"/>
  </si>
  <si>
    <t>DM</t>
    <phoneticPr fontId="2" type="noConversion"/>
  </si>
  <si>
    <t>TM</t>
    <phoneticPr fontId="2" type="noConversion"/>
  </si>
  <si>
    <t>넥쏘</t>
    <phoneticPr fontId="2" type="noConversion"/>
  </si>
  <si>
    <t>넥쏘</t>
    <phoneticPr fontId="2" type="noConversion"/>
  </si>
  <si>
    <t>승용 계</t>
    <phoneticPr fontId="38" type="noConversion"/>
  </si>
  <si>
    <t>코나</t>
    <phoneticPr fontId="2" type="noConversion"/>
  </si>
  <si>
    <t>OS</t>
    <phoneticPr fontId="2" type="noConversion"/>
  </si>
  <si>
    <t>G90/EQ900</t>
    <phoneticPr fontId="2" type="noConversion"/>
  </si>
  <si>
    <t>EQ900</t>
    <phoneticPr fontId="2" type="noConversion"/>
  </si>
  <si>
    <t>G90</t>
    <phoneticPr fontId="2" type="noConversion"/>
  </si>
  <si>
    <t>G90/EQ900</t>
    <phoneticPr fontId="2" type="noConversion"/>
  </si>
  <si>
    <t>팰리세이드</t>
    <phoneticPr fontId="2" type="noConversion"/>
  </si>
  <si>
    <t>팰리세이드</t>
    <phoneticPr fontId="2" type="noConversion"/>
  </si>
  <si>
    <t>※ 2019년</t>
    <phoneticPr fontId="2" type="noConversion"/>
  </si>
  <si>
    <t>DN8</t>
    <phoneticPr fontId="2" type="noConversion"/>
  </si>
  <si>
    <t>베뉴</t>
    <phoneticPr fontId="2" type="noConversion"/>
  </si>
  <si>
    <t>베뉴</t>
    <phoneticPr fontId="2" type="noConversion"/>
  </si>
  <si>
    <t>DN8 HEV</t>
    <phoneticPr fontId="2" type="noConversion"/>
  </si>
  <si>
    <t>IG HEV</t>
    <phoneticPr fontId="2" type="noConversion"/>
  </si>
  <si>
    <t>LF HEV</t>
    <phoneticPr fontId="2" type="noConversion"/>
  </si>
  <si>
    <t>HEV</t>
    <phoneticPr fontId="2" type="noConversion"/>
  </si>
  <si>
    <t>EV</t>
    <phoneticPr fontId="2" type="noConversion"/>
  </si>
  <si>
    <t>EV</t>
    <phoneticPr fontId="2" type="noConversion"/>
  </si>
  <si>
    <t>포터</t>
    <phoneticPr fontId="2" type="noConversion"/>
  </si>
  <si>
    <t>2020년</t>
    <phoneticPr fontId="2" type="noConversion"/>
  </si>
  <si>
    <t>※ 2020년</t>
    <phoneticPr fontId="2" type="noConversion"/>
  </si>
  <si>
    <t>GV80</t>
    <phoneticPr fontId="2" type="noConversion"/>
  </si>
  <si>
    <t>GV80</t>
    <phoneticPr fontId="2" type="noConversion"/>
  </si>
  <si>
    <t>DH</t>
    <phoneticPr fontId="2" type="noConversion"/>
  </si>
  <si>
    <t>RG3</t>
    <phoneticPr fontId="2" type="noConversion"/>
  </si>
  <si>
    <t>AD</t>
    <phoneticPr fontId="2" type="noConversion"/>
  </si>
  <si>
    <t>CN7</t>
    <phoneticPr fontId="2" type="noConversion"/>
  </si>
  <si>
    <t>CN7 HEV</t>
    <phoneticPr fontId="2" type="noConversion"/>
  </si>
  <si>
    <t>TL</t>
    <phoneticPr fontId="2" type="noConversion"/>
  </si>
  <si>
    <t>NX4</t>
    <phoneticPr fontId="2" type="noConversion"/>
  </si>
  <si>
    <t>NX4 HEV</t>
    <phoneticPr fontId="2" type="noConversion"/>
  </si>
  <si>
    <t>수소전기차</t>
    <phoneticPr fontId="2" type="noConversion"/>
  </si>
  <si>
    <t>친환경차 합계</t>
    <phoneticPr fontId="2" type="noConversion"/>
  </si>
  <si>
    <t>※ 국내 친환경차 판매(하이브리드 / 전기차 / 수소전기차)</t>
    <phoneticPr fontId="2" type="noConversion"/>
  </si>
  <si>
    <t>GV70</t>
    <phoneticPr fontId="2" type="noConversion"/>
  </si>
  <si>
    <t>GV70</t>
    <phoneticPr fontId="2" type="noConversion"/>
  </si>
  <si>
    <t>※ 2021년</t>
    <phoneticPr fontId="2" type="noConversion"/>
  </si>
  <si>
    <t>2021년</t>
    <phoneticPr fontId="2" type="noConversion"/>
  </si>
  <si>
    <t>2월</t>
    <phoneticPr fontId="2" type="noConversion"/>
  </si>
  <si>
    <t>구 분</t>
    <phoneticPr fontId="2" type="noConversion"/>
  </si>
  <si>
    <t>2019년</t>
    <phoneticPr fontId="2" type="noConversion"/>
  </si>
  <si>
    <t>3월</t>
    <phoneticPr fontId="2" type="noConversion"/>
  </si>
  <si>
    <t>4월</t>
    <phoneticPr fontId="2" type="noConversion"/>
  </si>
  <si>
    <t>아이오닉 5</t>
    <phoneticPr fontId="2" type="noConversion"/>
  </si>
  <si>
    <t>스타리아</t>
    <phoneticPr fontId="2" type="noConversion"/>
  </si>
  <si>
    <t>아이오닉 5</t>
    <phoneticPr fontId="2" type="noConversion"/>
  </si>
  <si>
    <t>스타리아</t>
    <phoneticPr fontId="2" type="noConversion"/>
  </si>
  <si>
    <t>5월</t>
    <phoneticPr fontId="2" type="noConversion"/>
  </si>
  <si>
    <t>6월</t>
    <phoneticPr fontId="2" type="noConversion"/>
  </si>
  <si>
    <t>N</t>
    <phoneticPr fontId="2" type="noConversion"/>
  </si>
  <si>
    <t>7월</t>
    <phoneticPr fontId="2" type="noConversion"/>
  </si>
  <si>
    <t>G80</t>
    <phoneticPr fontId="2" type="noConversion"/>
  </si>
  <si>
    <t>산타페</t>
    <phoneticPr fontId="2" type="noConversion"/>
  </si>
  <si>
    <t>TM HEV</t>
    <phoneticPr fontId="2" type="noConversion"/>
  </si>
  <si>
    <t>8월</t>
    <phoneticPr fontId="2" type="noConversion"/>
  </si>
  <si>
    <t>9월</t>
    <phoneticPr fontId="2" type="noConversion"/>
  </si>
  <si>
    <t>캐스퍼</t>
    <phoneticPr fontId="2" type="noConversion"/>
  </si>
  <si>
    <t>캐스퍼</t>
    <phoneticPr fontId="2" type="noConversion"/>
  </si>
  <si>
    <t>10월</t>
    <phoneticPr fontId="2" type="noConversion"/>
  </si>
  <si>
    <t>GV60</t>
    <phoneticPr fontId="2" type="noConversion"/>
  </si>
  <si>
    <t>GV60</t>
    <phoneticPr fontId="2" type="noConversion"/>
  </si>
  <si>
    <t>11월</t>
    <phoneticPr fontId="2" type="noConversion"/>
  </si>
  <si>
    <t>12월</t>
    <phoneticPr fontId="2" type="noConversion"/>
  </si>
  <si>
    <t>■ 현대차 2022년 내수 월별 판매실적</t>
    <phoneticPr fontId="2" type="noConversion"/>
  </si>
  <si>
    <t>※ 2022년</t>
    <phoneticPr fontId="2" type="noConversion"/>
  </si>
  <si>
    <t>2022년</t>
    <phoneticPr fontId="2" type="noConversion"/>
  </si>
  <si>
    <t>2022년</t>
    <phoneticPr fontId="2" type="noConversion"/>
  </si>
  <si>
    <t>JK</t>
    <phoneticPr fontId="2" type="noConversion"/>
  </si>
  <si>
    <t>RG3 EV</t>
    <phoneticPr fontId="2" type="noConversion"/>
  </si>
  <si>
    <t>JK EV</t>
    <phoneticPr fontId="2" type="noConversion"/>
  </si>
  <si>
    <t>HR</t>
    <phoneticPr fontId="2" type="noConversion"/>
  </si>
  <si>
    <t>HR EV</t>
    <phoneticPr fontId="2" type="noConversion"/>
  </si>
  <si>
    <t>■ 현대차 2022년 6월 판매실적</t>
    <phoneticPr fontId="2" type="noConversion"/>
  </si>
  <si>
    <t>'22년
1~6월</t>
    <phoneticPr fontId="2" type="noConversion"/>
  </si>
  <si>
    <t>'21년
1~6월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</si>
</sst>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[Red]\(#,##0\)"/>
    <numFmt numFmtId="179" formatCode="0&quot;월&quot;"/>
    <numFmt numFmtId="180" formatCode="&quot;1-&quot;0&quot;월&quot;"/>
    <numFmt numFmtId="181" formatCode="#&quot;년&quot;"/>
    <numFmt numFmtId="182" formatCode="####&quot;년&quot;"/>
    <numFmt numFmtId="183" formatCode="0&quot;년&quot;"/>
    <numFmt numFmtId="184" formatCode="&quot;■ 현대차 2010년 &quot;##&quot;월 판매실적&quot;"/>
  </numFmts>
  <fonts count="6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HY헤드라인M"/>
      <family val="1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10"/>
      <name val="HY헤드라인M"/>
      <family val="1"/>
      <charset val="129"/>
    </font>
    <font>
      <sz val="7.5"/>
      <name val="돋움"/>
      <family val="3"/>
      <charset val="129"/>
    </font>
    <font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0"/>
      <name val="HY헤드라인M"/>
      <family val="1"/>
      <charset val="129"/>
    </font>
    <font>
      <sz val="12"/>
      <name val="HY헤드라인M"/>
      <family val="1"/>
      <charset val="129"/>
    </font>
    <font>
      <sz val="12"/>
      <name val="Times New Roman"/>
      <family val="1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1"/>
      <name val="Times New Roman"/>
      <family val="1"/>
    </font>
    <font>
      <sz val="9"/>
      <name val="새굴림"/>
      <family val="1"/>
      <charset val="129"/>
    </font>
    <font>
      <sz val="10"/>
      <name val="굴림"/>
      <family val="3"/>
      <charset val="129"/>
    </font>
    <font>
      <sz val="10"/>
      <name val="Arial"/>
      <family val="2"/>
    </font>
    <font>
      <sz val="11"/>
      <name val="Arial"/>
      <family val="2"/>
    </font>
    <font>
      <sz val="11"/>
      <name val="HY헤드라인M"/>
      <family val="1"/>
      <charset val="129"/>
    </font>
    <font>
      <sz val="12"/>
      <name val="굴림"/>
      <family val="3"/>
      <charset val="129"/>
    </font>
    <font>
      <sz val="8"/>
      <name val="굴림"/>
      <family val="3"/>
      <charset val="129"/>
    </font>
    <font>
      <sz val="8"/>
      <color indexed="10"/>
      <name val="돋움"/>
      <family val="3"/>
      <charset val="129"/>
    </font>
    <font>
      <sz val="9"/>
      <name val="Times New Roman"/>
      <family val="1"/>
    </font>
    <font>
      <sz val="11"/>
      <name val="바탕"/>
      <family val="1"/>
      <charset val="129"/>
    </font>
    <font>
      <sz val="7.5"/>
      <name val="HY헤드라인M"/>
      <family val="1"/>
      <charset val="129"/>
    </font>
    <font>
      <b/>
      <sz val="8"/>
      <name val="돋움"/>
      <family val="3"/>
      <charset val="129"/>
    </font>
    <font>
      <sz val="9"/>
      <name val="굴림"/>
      <family val="3"/>
      <charset val="129"/>
    </font>
    <font>
      <sz val="12"/>
      <name val="바탕"/>
      <family val="1"/>
      <charset val="129"/>
    </font>
    <font>
      <sz val="5"/>
      <name val="돋움"/>
      <family val="3"/>
      <charset val="129"/>
    </font>
    <font>
      <sz val="6"/>
      <name val="돋움"/>
      <family val="3"/>
      <charset val="129"/>
    </font>
    <font>
      <b/>
      <sz val="12"/>
      <name val="가는각진제목체"/>
      <family val="1"/>
      <charset val="129"/>
    </font>
    <font>
      <sz val="12"/>
      <name val="가는각진제목체"/>
      <family val="1"/>
      <charset val="129"/>
    </font>
    <font>
      <sz val="8"/>
      <name val="Times New Roman"/>
      <family val="1"/>
    </font>
    <font>
      <sz val="9"/>
      <name val="HY헤드라인M"/>
      <family val="1"/>
      <charset val="129"/>
    </font>
    <font>
      <sz val="8"/>
      <name val="HY헤드라인M"/>
      <family val="1"/>
      <charset val="129"/>
    </font>
    <font>
      <sz val="7"/>
      <name val="HY헤드라인M"/>
      <family val="1"/>
      <charset val="129"/>
    </font>
    <font>
      <b/>
      <sz val="10"/>
      <name val="Arial"/>
      <family val="2"/>
    </font>
    <font>
      <i/>
      <sz val="9"/>
      <name val="HY헤드라인M"/>
      <family val="1"/>
      <charset val="129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HY헤드라인M"/>
      <family val="1"/>
      <charset val="129"/>
    </font>
    <font>
      <b/>
      <sz val="11"/>
      <name val="Arial"/>
      <family val="2"/>
    </font>
    <font>
      <sz val="11"/>
      <color theme="1"/>
      <name val="기아 Medium"/>
      <family val="3"/>
      <charset val="129"/>
    </font>
    <font>
      <b/>
      <sz val="10"/>
      <color theme="1"/>
      <name val="Arial"/>
      <family val="2"/>
    </font>
    <font>
      <sz val="11"/>
      <color rgb="FFFF0000"/>
      <name val="굴림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60" fillId="0" borderId="0">
      <alignment vertical="center"/>
    </xf>
    <xf numFmtId="0" fontId="1" fillId="0" borderId="0"/>
  </cellStyleXfs>
  <cellXfs count="4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82" fontId="4" fillId="0" borderId="10" xfId="0" applyNumberFormat="1" applyFont="1" applyBorder="1" applyAlignment="1">
      <alignment horizontal="center"/>
    </xf>
    <xf numFmtId="49" fontId="0" fillId="0" borderId="0" xfId="0" applyNumberFormat="1" applyBorder="1">
      <alignment vertical="center"/>
    </xf>
    <xf numFmtId="179" fontId="4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4" fillId="0" borderId="0" xfId="33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0" xfId="0" applyFont="1">
      <alignment vertical="center"/>
    </xf>
    <xf numFmtId="41" fontId="6" fillId="0" borderId="0" xfId="33" applyFont="1">
      <alignment vertical="center"/>
    </xf>
    <xf numFmtId="0" fontId="2" fillId="24" borderId="0" xfId="0" applyFont="1" applyFill="1">
      <alignment vertical="center"/>
    </xf>
    <xf numFmtId="41" fontId="2" fillId="0" borderId="0" xfId="33" applyFont="1">
      <alignment vertical="center"/>
    </xf>
    <xf numFmtId="0" fontId="2" fillId="0" borderId="0" xfId="0" applyFont="1">
      <alignment vertical="center"/>
    </xf>
    <xf numFmtId="179" fontId="7" fillId="0" borderId="17" xfId="33" applyNumberFormat="1" applyFont="1" applyBorder="1" applyAlignment="1">
      <alignment horizontal="center" vertical="center"/>
    </xf>
    <xf numFmtId="179" fontId="7" fillId="0" borderId="18" xfId="33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0" xfId="0" applyNumberFormat="1" applyFont="1" applyBorder="1">
      <alignment vertical="center"/>
    </xf>
    <xf numFmtId="41" fontId="7" fillId="0" borderId="21" xfId="33" applyFont="1" applyBorder="1" applyAlignment="1">
      <alignment horizontal="center" vertical="center"/>
    </xf>
    <xf numFmtId="41" fontId="7" fillId="0" borderId="22" xfId="33" applyFont="1" applyBorder="1" applyAlignment="1">
      <alignment horizontal="center" vertical="center"/>
    </xf>
    <xf numFmtId="41" fontId="7" fillId="0" borderId="23" xfId="33" applyFont="1" applyBorder="1" applyAlignment="1">
      <alignment horizontal="center" vertical="center"/>
    </xf>
    <xf numFmtId="178" fontId="7" fillId="0" borderId="24" xfId="0" applyNumberFormat="1" applyFont="1" applyBorder="1">
      <alignment vertical="center"/>
    </xf>
    <xf numFmtId="41" fontId="7" fillId="0" borderId="25" xfId="33" applyFont="1" applyBorder="1" applyAlignment="1">
      <alignment horizontal="center" vertical="center"/>
    </xf>
    <xf numFmtId="41" fontId="7" fillId="0" borderId="26" xfId="33" applyFont="1" applyBorder="1" applyAlignment="1">
      <alignment horizontal="center" vertical="center"/>
    </xf>
    <xf numFmtId="41" fontId="7" fillId="0" borderId="27" xfId="33" applyFont="1" applyBorder="1" applyAlignment="1">
      <alignment horizontal="center" vertical="center"/>
    </xf>
    <xf numFmtId="41" fontId="7" fillId="0" borderId="26" xfId="33" applyFont="1" applyFill="1" applyBorder="1" applyAlignment="1">
      <alignment horizontal="center" vertical="center"/>
    </xf>
    <xf numFmtId="178" fontId="7" fillId="0" borderId="24" xfId="0" applyNumberFormat="1" applyFont="1" applyFill="1" applyBorder="1">
      <alignment vertical="center"/>
    </xf>
    <xf numFmtId="41" fontId="7" fillId="0" borderId="25" xfId="33" applyFont="1" applyFill="1" applyBorder="1" applyAlignment="1">
      <alignment horizontal="center" vertical="center"/>
    </xf>
    <xf numFmtId="178" fontId="7" fillId="25" borderId="28" xfId="0" applyNumberFormat="1" applyFont="1" applyFill="1" applyBorder="1" applyAlignment="1">
      <alignment horizontal="center" vertical="center"/>
    </xf>
    <xf numFmtId="41" fontId="7" fillId="25" borderId="25" xfId="33" applyFont="1" applyFill="1" applyBorder="1" applyAlignment="1">
      <alignment horizontal="center" vertical="center"/>
    </xf>
    <xf numFmtId="41" fontId="7" fillId="25" borderId="29" xfId="33" applyFont="1" applyFill="1" applyBorder="1" applyAlignment="1">
      <alignment horizontal="center" vertical="center"/>
    </xf>
    <xf numFmtId="178" fontId="7" fillId="0" borderId="30" xfId="0" applyNumberFormat="1" applyFont="1" applyBorder="1">
      <alignment vertical="center"/>
    </xf>
    <xf numFmtId="41" fontId="7" fillId="0" borderId="31" xfId="33" applyFont="1" applyBorder="1" applyAlignment="1">
      <alignment horizontal="center" vertical="center"/>
    </xf>
    <xf numFmtId="41" fontId="7" fillId="0" borderId="32" xfId="33" applyFont="1" applyBorder="1" applyAlignment="1">
      <alignment horizontal="center" vertical="center"/>
    </xf>
    <xf numFmtId="41" fontId="7" fillId="0" borderId="33" xfId="33" applyFont="1" applyBorder="1" applyAlignment="1">
      <alignment horizontal="center" vertical="center"/>
    </xf>
    <xf numFmtId="178" fontId="7" fillId="25" borderId="34" xfId="0" applyNumberFormat="1" applyFont="1" applyFill="1" applyBorder="1" applyAlignment="1">
      <alignment horizontal="center" vertical="center"/>
    </xf>
    <xf numFmtId="41" fontId="7" fillId="25" borderId="35" xfId="33" applyFont="1" applyFill="1" applyBorder="1" applyAlignment="1">
      <alignment horizontal="center" vertical="center"/>
    </xf>
    <xf numFmtId="41" fontId="7" fillId="25" borderId="36" xfId="33" applyFont="1" applyFill="1" applyBorder="1" applyAlignment="1">
      <alignment horizontal="center" vertical="center"/>
    </xf>
    <xf numFmtId="41" fontId="7" fillId="26" borderId="37" xfId="33" applyFont="1" applyFill="1" applyBorder="1" applyAlignment="1">
      <alignment horizontal="center" vertical="center"/>
    </xf>
    <xf numFmtId="43" fontId="2" fillId="0" borderId="0" xfId="0" applyNumberFormat="1" applyFont="1">
      <alignment vertical="center"/>
    </xf>
    <xf numFmtId="41" fontId="35" fillId="0" borderId="38" xfId="33" applyFont="1" applyFill="1" applyBorder="1" applyAlignment="1">
      <alignment vertical="center"/>
    </xf>
    <xf numFmtId="41" fontId="35" fillId="0" borderId="0" xfId="33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39" xfId="0" applyFont="1" applyBorder="1" applyAlignment="1">
      <alignment horizontal="center" vertical="center"/>
    </xf>
    <xf numFmtId="41" fontId="28" fillId="0" borderId="0" xfId="0" applyNumberFormat="1" applyFont="1" applyAlignment="1">
      <alignment vertical="center"/>
    </xf>
    <xf numFmtId="0" fontId="8" fillId="0" borderId="40" xfId="0" quotePrefix="1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textRotation="255"/>
    </xf>
    <xf numFmtId="49" fontId="8" fillId="0" borderId="40" xfId="0" applyNumberFormat="1" applyFont="1" applyBorder="1" applyAlignment="1">
      <alignment horizontal="center" vertical="center" textRotation="255"/>
    </xf>
    <xf numFmtId="0" fontId="33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36" fillId="27" borderId="45" xfId="0" applyFont="1" applyFill="1" applyBorder="1" applyAlignment="1">
      <alignment horizontal="centerContinuous" vertical="center"/>
    </xf>
    <xf numFmtId="0" fontId="8" fillId="27" borderId="38" xfId="0" applyFont="1" applyFill="1" applyBorder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41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8" fillId="27" borderId="46" xfId="0" applyFont="1" applyFill="1" applyBorder="1" applyAlignment="1">
      <alignment horizontal="centerContinuous" vertical="center"/>
    </xf>
    <xf numFmtId="41" fontId="35" fillId="27" borderId="25" xfId="33" applyFont="1" applyFill="1" applyBorder="1" applyAlignment="1">
      <alignment vertical="center"/>
    </xf>
    <xf numFmtId="0" fontId="37" fillId="0" borderId="0" xfId="0" applyFont="1" applyAlignment="1">
      <alignment vertical="center"/>
    </xf>
    <xf numFmtId="178" fontId="7" fillId="0" borderId="47" xfId="0" applyNumberFormat="1" applyFont="1" applyFill="1" applyBorder="1">
      <alignment vertical="center"/>
    </xf>
    <xf numFmtId="41" fontId="7" fillId="0" borderId="48" xfId="33" applyFont="1" applyFill="1" applyBorder="1" applyAlignment="1">
      <alignment horizontal="center" vertical="center"/>
    </xf>
    <xf numFmtId="178" fontId="7" fillId="0" borderId="47" xfId="0" applyNumberFormat="1" applyFont="1" applyBorder="1">
      <alignment vertical="center"/>
    </xf>
    <xf numFmtId="41" fontId="7" fillId="0" borderId="48" xfId="33" applyFont="1" applyBorder="1" applyAlignment="1">
      <alignment horizontal="center" vertical="center"/>
    </xf>
    <xf numFmtId="178" fontId="7" fillId="0" borderId="49" xfId="0" applyNumberFormat="1" applyFont="1" applyBorder="1">
      <alignment vertical="center"/>
    </xf>
    <xf numFmtId="41" fontId="7" fillId="0" borderId="50" xfId="33" applyFont="1" applyBorder="1" applyAlignment="1">
      <alignment horizontal="center" vertical="center"/>
    </xf>
    <xf numFmtId="41" fontId="7" fillId="0" borderId="51" xfId="33" applyFont="1" applyBorder="1" applyAlignment="1">
      <alignment horizontal="center" vertical="center"/>
    </xf>
    <xf numFmtId="41" fontId="7" fillId="0" borderId="52" xfId="33" applyFont="1" applyBorder="1" applyAlignment="1">
      <alignment horizontal="center" vertical="center"/>
    </xf>
    <xf numFmtId="41" fontId="7" fillId="0" borderId="51" xfId="33" applyFont="1" applyFill="1" applyBorder="1" applyAlignment="1">
      <alignment horizontal="center" vertical="center"/>
    </xf>
    <xf numFmtId="0" fontId="32" fillId="28" borderId="53" xfId="0" quotePrefix="1" applyFont="1" applyFill="1" applyBorder="1" applyAlignment="1">
      <alignment horizontal="center" vertical="center" wrapText="1"/>
    </xf>
    <xf numFmtId="0" fontId="32" fillId="28" borderId="54" xfId="0" applyFont="1" applyFill="1" applyBorder="1" applyAlignment="1">
      <alignment horizontal="center" vertical="center" wrapText="1"/>
    </xf>
    <xf numFmtId="0" fontId="2" fillId="25" borderId="55" xfId="0" applyFont="1" applyFill="1" applyBorder="1">
      <alignment vertical="center"/>
    </xf>
    <xf numFmtId="0" fontId="2" fillId="25" borderId="56" xfId="0" applyFont="1" applyFill="1" applyBorder="1">
      <alignment vertical="center"/>
    </xf>
    <xf numFmtId="41" fontId="2" fillId="25" borderId="56" xfId="33" applyFont="1" applyFill="1" applyBorder="1">
      <alignment vertical="center"/>
    </xf>
    <xf numFmtId="41" fontId="2" fillId="25" borderId="56" xfId="0" applyNumberFormat="1" applyFont="1" applyFill="1" applyBorder="1">
      <alignment vertical="center"/>
    </xf>
    <xf numFmtId="0" fontId="2" fillId="25" borderId="57" xfId="0" applyFont="1" applyFill="1" applyBorder="1">
      <alignment vertical="center"/>
    </xf>
    <xf numFmtId="0" fontId="2" fillId="0" borderId="56" xfId="0" applyFont="1" applyBorder="1">
      <alignment vertical="center"/>
    </xf>
    <xf numFmtId="41" fontId="7" fillId="0" borderId="56" xfId="33" applyFont="1" applyBorder="1" applyAlignment="1">
      <alignment horizontal="center" vertical="center"/>
    </xf>
    <xf numFmtId="41" fontId="2" fillId="0" borderId="56" xfId="0" applyNumberFormat="1" applyFont="1" applyBorder="1">
      <alignment vertical="center"/>
    </xf>
    <xf numFmtId="0" fontId="2" fillId="25" borderId="58" xfId="0" applyFont="1" applyFill="1" applyBorder="1">
      <alignment vertical="center"/>
    </xf>
    <xf numFmtId="41" fontId="2" fillId="0" borderId="56" xfId="33" applyFont="1" applyBorder="1">
      <alignment vertical="center"/>
    </xf>
    <xf numFmtId="0" fontId="39" fillId="0" borderId="0" xfId="0" applyFont="1">
      <alignment vertical="center"/>
    </xf>
    <xf numFmtId="0" fontId="2" fillId="25" borderId="59" xfId="0" applyFont="1" applyFill="1" applyBorder="1">
      <alignment vertical="center"/>
    </xf>
    <xf numFmtId="0" fontId="2" fillId="25" borderId="60" xfId="0" applyFont="1" applyFill="1" applyBorder="1">
      <alignment vertical="center"/>
    </xf>
    <xf numFmtId="0" fontId="2" fillId="0" borderId="0" xfId="0" applyFont="1" applyBorder="1">
      <alignment vertical="center"/>
    </xf>
    <xf numFmtId="41" fontId="2" fillId="0" borderId="0" xfId="33" applyFont="1" applyBorder="1">
      <alignment vertical="center"/>
    </xf>
    <xf numFmtId="41" fontId="2" fillId="0" borderId="0" xfId="0" applyNumberFormat="1" applyFont="1" applyBorder="1">
      <alignment vertical="center"/>
    </xf>
    <xf numFmtId="41" fontId="7" fillId="0" borderId="60" xfId="33" applyFont="1" applyBorder="1" applyAlignment="1">
      <alignment horizontal="center" vertical="center"/>
    </xf>
    <xf numFmtId="41" fontId="2" fillId="0" borderId="60" xfId="33" applyFont="1" applyBorder="1">
      <alignment vertical="center"/>
    </xf>
    <xf numFmtId="41" fontId="7" fillId="0" borderId="61" xfId="33" applyFont="1" applyBorder="1" applyAlignment="1">
      <alignment horizontal="center" vertical="center"/>
    </xf>
    <xf numFmtId="41" fontId="7" fillId="0" borderId="62" xfId="33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8" fillId="0" borderId="0" xfId="46" applyFont="1" applyAlignment="1">
      <alignment vertical="center"/>
    </xf>
    <xf numFmtId="0" fontId="33" fillId="0" borderId="0" xfId="46" applyFont="1" applyFill="1" applyBorder="1" applyAlignment="1">
      <alignment vertical="center" wrapText="1"/>
    </xf>
    <xf numFmtId="41" fontId="33" fillId="0" borderId="0" xfId="46" applyNumberFormat="1" applyFont="1" applyAlignment="1">
      <alignment vertical="center"/>
    </xf>
    <xf numFmtId="0" fontId="33" fillId="0" borderId="0" xfId="46" applyFont="1" applyAlignment="1">
      <alignment vertical="center"/>
    </xf>
    <xf numFmtId="0" fontId="33" fillId="0" borderId="0" xfId="46" applyFont="1" applyFill="1" applyBorder="1" applyAlignment="1">
      <alignment vertical="center"/>
    </xf>
    <xf numFmtId="0" fontId="33" fillId="0" borderId="0" xfId="46" applyFont="1" applyFill="1" applyBorder="1" applyAlignment="1">
      <alignment horizontal="left" vertical="center"/>
    </xf>
    <xf numFmtId="0" fontId="40" fillId="0" borderId="0" xfId="46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41" fontId="35" fillId="0" borderId="0" xfId="33" applyFont="1" applyBorder="1" applyAlignment="1">
      <alignment vertical="center"/>
    </xf>
    <xf numFmtId="0" fontId="42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33" applyFont="1">
      <alignment vertical="center"/>
    </xf>
    <xf numFmtId="41" fontId="43" fillId="0" borderId="0" xfId="33" applyFont="1">
      <alignment vertical="center"/>
    </xf>
    <xf numFmtId="0" fontId="5" fillId="0" borderId="0" xfId="0" applyFont="1">
      <alignment vertical="center"/>
    </xf>
    <xf numFmtId="180" fontId="4" fillId="0" borderId="63" xfId="0" applyNumberFormat="1" applyFont="1" applyBorder="1" applyAlignment="1">
      <alignment horizontal="center" vertical="top"/>
    </xf>
    <xf numFmtId="181" fontId="5" fillId="26" borderId="64" xfId="0" applyNumberFormat="1" applyFont="1" applyFill="1" applyBorder="1" applyAlignment="1">
      <alignment horizontal="center" wrapText="1"/>
    </xf>
    <xf numFmtId="0" fontId="44" fillId="0" borderId="0" xfId="0" applyFont="1">
      <alignment vertical="center"/>
    </xf>
    <xf numFmtId="41" fontId="4" fillId="0" borderId="0" xfId="0" applyNumberFormat="1" applyFont="1">
      <alignment vertical="center"/>
    </xf>
    <xf numFmtId="0" fontId="32" fillId="30" borderId="54" xfId="0" quotePrefix="1" applyFont="1" applyFill="1" applyBorder="1" applyAlignment="1">
      <alignment horizontal="center" vertical="center" wrapText="1"/>
    </xf>
    <xf numFmtId="41" fontId="7" fillId="0" borderId="56" xfId="33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179" fontId="5" fillId="32" borderId="65" xfId="0" applyNumberFormat="1" applyFont="1" applyFill="1" applyBorder="1" applyAlignment="1">
      <alignment horizontal="center" vertical="top" wrapText="1"/>
    </xf>
    <xf numFmtId="178" fontId="7" fillId="0" borderId="49" xfId="0" applyNumberFormat="1" applyFont="1" applyFill="1" applyBorder="1">
      <alignment vertical="center"/>
    </xf>
    <xf numFmtId="41" fontId="7" fillId="0" borderId="50" xfId="33" applyFont="1" applyFill="1" applyBorder="1" applyAlignment="1">
      <alignment horizontal="center" vertical="center"/>
    </xf>
    <xf numFmtId="41" fontId="7" fillId="0" borderId="50" xfId="33" applyFont="1" applyFill="1" applyBorder="1" applyAlignment="1">
      <alignment horizontal="right" vertical="center"/>
    </xf>
    <xf numFmtId="0" fontId="2" fillId="0" borderId="56" xfId="0" applyFont="1" applyBorder="1" applyAlignment="1">
      <alignment vertical="center" shrinkToFit="1"/>
    </xf>
    <xf numFmtId="0" fontId="8" fillId="0" borderId="40" xfId="0" applyFont="1" applyBorder="1" applyAlignment="1">
      <alignment horizontal="center" vertical="center" wrapText="1"/>
    </xf>
    <xf numFmtId="49" fontId="8" fillId="0" borderId="66" xfId="0" applyNumberFormat="1" applyFont="1" applyBorder="1" applyAlignment="1">
      <alignment horizontal="center" vertical="center" textRotation="255"/>
    </xf>
    <xf numFmtId="41" fontId="7" fillId="0" borderId="67" xfId="33" applyFont="1" applyFill="1" applyBorder="1" applyAlignment="1">
      <alignment horizontal="center" vertical="center"/>
    </xf>
    <xf numFmtId="41" fontId="7" fillId="0" borderId="68" xfId="33" applyFont="1" applyFill="1" applyBorder="1" applyAlignment="1">
      <alignment horizontal="center" vertical="center"/>
    </xf>
    <xf numFmtId="178" fontId="7" fillId="0" borderId="69" xfId="0" applyNumberFormat="1" applyFont="1" applyFill="1" applyBorder="1" applyAlignment="1">
      <alignment vertical="center"/>
    </xf>
    <xf numFmtId="179" fontId="30" fillId="28" borderId="46" xfId="0" quotePrefix="1" applyNumberFormat="1" applyFont="1" applyFill="1" applyBorder="1" applyAlignment="1">
      <alignment horizontal="center" vertical="center"/>
    </xf>
    <xf numFmtId="0" fontId="2" fillId="33" borderId="56" xfId="0" applyFont="1" applyFill="1" applyBorder="1">
      <alignment vertical="center"/>
    </xf>
    <xf numFmtId="41" fontId="7" fillId="33" borderId="61" xfId="33" applyFont="1" applyFill="1" applyBorder="1">
      <alignment vertical="center"/>
    </xf>
    <xf numFmtId="41" fontId="7" fillId="33" borderId="56" xfId="33" applyFont="1" applyFill="1" applyBorder="1">
      <alignment vertical="center"/>
    </xf>
    <xf numFmtId="41" fontId="7" fillId="33" borderId="62" xfId="33" applyFont="1" applyFill="1" applyBorder="1">
      <alignment vertical="center"/>
    </xf>
    <xf numFmtId="41" fontId="7" fillId="33" borderId="60" xfId="33" applyFont="1" applyFill="1" applyBorder="1">
      <alignment vertical="center"/>
    </xf>
    <xf numFmtId="41" fontId="7" fillId="33" borderId="56" xfId="0" applyNumberFormat="1" applyFont="1" applyFill="1" applyBorder="1">
      <alignment vertical="center"/>
    </xf>
    <xf numFmtId="177" fontId="5" fillId="26" borderId="65" xfId="33" applyNumberFormat="1" applyFont="1" applyFill="1" applyBorder="1" applyAlignment="1">
      <alignment horizontal="center" vertical="center"/>
    </xf>
    <xf numFmtId="177" fontId="4" fillId="0" borderId="11" xfId="33" applyNumberFormat="1" applyFont="1" applyBorder="1" applyAlignment="1">
      <alignment horizontal="center" vertical="center"/>
    </xf>
    <xf numFmtId="176" fontId="4" fillId="0" borderId="70" xfId="29" applyNumberFormat="1" applyFont="1" applyBorder="1" applyAlignment="1">
      <alignment horizontal="center" vertical="center"/>
    </xf>
    <xf numFmtId="176" fontId="4" fillId="0" borderId="71" xfId="29" applyNumberFormat="1" applyFont="1" applyBorder="1" applyAlignment="1">
      <alignment horizontal="center" vertical="center"/>
    </xf>
    <xf numFmtId="41" fontId="7" fillId="33" borderId="56" xfId="33" applyFont="1" applyFill="1" applyBorder="1">
      <alignment vertical="center"/>
    </xf>
    <xf numFmtId="41" fontId="7" fillId="33" borderId="60" xfId="33" applyFont="1" applyFill="1" applyBorder="1">
      <alignment vertical="center"/>
    </xf>
    <xf numFmtId="0" fontId="2" fillId="33" borderId="56" xfId="0" applyFont="1" applyFill="1" applyBorder="1">
      <alignment vertical="center"/>
    </xf>
    <xf numFmtId="41" fontId="7" fillId="33" borderId="61" xfId="33" applyFont="1" applyFill="1" applyBorder="1">
      <alignment vertical="center"/>
    </xf>
    <xf numFmtId="41" fontId="7" fillId="33" borderId="56" xfId="33" applyFont="1" applyFill="1" applyBorder="1">
      <alignment vertical="center"/>
    </xf>
    <xf numFmtId="41" fontId="7" fillId="33" borderId="62" xfId="33" applyFont="1" applyFill="1" applyBorder="1">
      <alignment vertical="center"/>
    </xf>
    <xf numFmtId="41" fontId="7" fillId="33" borderId="60" xfId="33" applyFont="1" applyFill="1" applyBorder="1">
      <alignment vertical="center"/>
    </xf>
    <xf numFmtId="41" fontId="7" fillId="33" borderId="56" xfId="0" applyNumberFormat="1" applyFont="1" applyFill="1" applyBorder="1">
      <alignment vertical="center"/>
    </xf>
    <xf numFmtId="0" fontId="47" fillId="0" borderId="56" xfId="0" applyFont="1" applyBorder="1">
      <alignment vertical="center"/>
    </xf>
    <xf numFmtId="49" fontId="8" fillId="0" borderId="72" xfId="0" applyNumberFormat="1" applyFont="1" applyBorder="1" applyAlignment="1">
      <alignment horizontal="center" vertical="center" textRotation="255"/>
    </xf>
    <xf numFmtId="41" fontId="7" fillId="0" borderId="31" xfId="33" applyFont="1" applyFill="1" applyBorder="1" applyAlignment="1">
      <alignment horizontal="center" vertical="center"/>
    </xf>
    <xf numFmtId="41" fontId="7" fillId="0" borderId="73" xfId="33" applyFont="1" applyFill="1" applyBorder="1" applyAlignment="1">
      <alignment horizontal="center" vertical="center"/>
    </xf>
    <xf numFmtId="0" fontId="8" fillId="27" borderId="74" xfId="0" applyFont="1" applyFill="1" applyBorder="1" applyAlignment="1">
      <alignment horizontal="centerContinuous" vertical="center"/>
    </xf>
    <xf numFmtId="0" fontId="8" fillId="27" borderId="75" xfId="0" applyFont="1" applyFill="1" applyBorder="1" applyAlignment="1">
      <alignment horizontal="centerContinuous" vertical="center"/>
    </xf>
    <xf numFmtId="176" fontId="34" fillId="27" borderId="76" xfId="29" applyNumberFormat="1" applyFont="1" applyFill="1" applyBorder="1" applyAlignment="1">
      <alignment vertical="center"/>
    </xf>
    <xf numFmtId="176" fontId="34" fillId="27" borderId="77" xfId="29" applyNumberFormat="1" applyFont="1" applyFill="1" applyBorder="1" applyAlignment="1">
      <alignment vertical="center"/>
    </xf>
    <xf numFmtId="0" fontId="36" fillId="27" borderId="78" xfId="0" applyFont="1" applyFill="1" applyBorder="1" applyAlignment="1">
      <alignment horizontal="centerContinuous" vertical="center"/>
    </xf>
    <xf numFmtId="177" fontId="4" fillId="27" borderId="79" xfId="33" applyNumberFormat="1" applyFont="1" applyFill="1" applyBorder="1" applyAlignment="1">
      <alignment horizontal="center" vertical="center"/>
    </xf>
    <xf numFmtId="177" fontId="4" fillId="31" borderId="79" xfId="33" applyNumberFormat="1" applyFont="1" applyFill="1" applyBorder="1" applyAlignment="1">
      <alignment horizontal="center" vertical="center"/>
    </xf>
    <xf numFmtId="177" fontId="4" fillId="24" borderId="73" xfId="33" applyNumberFormat="1" applyFont="1" applyFill="1" applyBorder="1" applyAlignment="1">
      <alignment horizontal="center" vertical="center"/>
    </xf>
    <xf numFmtId="177" fontId="4" fillId="27" borderId="80" xfId="33" applyNumberFormat="1" applyFont="1" applyFill="1" applyBorder="1" applyAlignment="1">
      <alignment horizontal="center" vertical="center"/>
    </xf>
    <xf numFmtId="177" fontId="4" fillId="31" borderId="80" xfId="33" applyNumberFormat="1" applyFont="1" applyFill="1" applyBorder="1" applyAlignment="1">
      <alignment horizontal="center" vertical="center"/>
    </xf>
    <xf numFmtId="177" fontId="4" fillId="24" borderId="29" xfId="33" applyNumberFormat="1" applyFont="1" applyFill="1" applyBorder="1" applyAlignment="1">
      <alignment horizontal="center" vertical="center"/>
    </xf>
    <xf numFmtId="177" fontId="4" fillId="27" borderId="81" xfId="33" applyNumberFormat="1" applyFont="1" applyFill="1" applyBorder="1" applyAlignment="1">
      <alignment horizontal="center" vertical="center"/>
    </xf>
    <xf numFmtId="177" fontId="4" fillId="31" borderId="81" xfId="33" applyNumberFormat="1" applyFont="1" applyFill="1" applyBorder="1" applyAlignment="1">
      <alignment horizontal="center" vertical="center"/>
    </xf>
    <xf numFmtId="177" fontId="4" fillId="24" borderId="82" xfId="33" applyNumberFormat="1" applyFont="1" applyFill="1" applyBorder="1" applyAlignment="1">
      <alignment horizontal="center" vertical="center"/>
    </xf>
    <xf numFmtId="177" fontId="4" fillId="27" borderId="83" xfId="33" applyNumberFormat="1" applyFont="1" applyFill="1" applyBorder="1" applyAlignment="1">
      <alignment horizontal="center" vertical="center"/>
    </xf>
    <xf numFmtId="177" fontId="4" fillId="31" borderId="83" xfId="33" applyNumberFormat="1" applyFont="1" applyFill="1" applyBorder="1" applyAlignment="1">
      <alignment horizontal="center" vertical="center"/>
    </xf>
    <xf numFmtId="177" fontId="4" fillId="24" borderId="70" xfId="33" applyNumberFormat="1" applyFont="1" applyFill="1" applyBorder="1" applyAlignment="1">
      <alignment horizontal="center" vertical="center"/>
    </xf>
    <xf numFmtId="178" fontId="7" fillId="0" borderId="30" xfId="0" applyNumberFormat="1" applyFont="1" applyBorder="1" applyAlignment="1">
      <alignment horizontal="left" vertical="center"/>
    </xf>
    <xf numFmtId="178" fontId="7" fillId="0" borderId="49" xfId="0" applyNumberFormat="1" applyFont="1" applyBorder="1" applyAlignment="1">
      <alignment horizontal="left" vertical="center"/>
    </xf>
    <xf numFmtId="178" fontId="7" fillId="0" borderId="24" xfId="0" applyNumberFormat="1" applyFont="1" applyBorder="1" applyAlignment="1">
      <alignment horizontal="left" vertical="center"/>
    </xf>
    <xf numFmtId="178" fontId="7" fillId="0" borderId="47" xfId="0" applyNumberFormat="1" applyFont="1" applyBorder="1" applyAlignment="1">
      <alignment horizontal="left" vertical="center"/>
    </xf>
    <xf numFmtId="178" fontId="7" fillId="0" borderId="47" xfId="0" applyNumberFormat="1" applyFont="1" applyFill="1" applyBorder="1" applyAlignment="1">
      <alignment horizontal="left" vertical="center"/>
    </xf>
    <xf numFmtId="178" fontId="7" fillId="0" borderId="49" xfId="0" applyNumberFormat="1" applyFont="1" applyFill="1" applyBorder="1" applyAlignment="1">
      <alignment horizontal="left" vertical="center"/>
    </xf>
    <xf numFmtId="178" fontId="7" fillId="25" borderId="34" xfId="0" applyNumberFormat="1" applyFont="1" applyFill="1" applyBorder="1" applyAlignment="1">
      <alignment horizontal="left" vertical="center"/>
    </xf>
    <xf numFmtId="178" fontId="7" fillId="0" borderId="20" xfId="0" applyNumberFormat="1" applyFont="1" applyBorder="1" applyAlignment="1">
      <alignment horizontal="left" vertical="center"/>
    </xf>
    <xf numFmtId="178" fontId="7" fillId="25" borderId="28" xfId="0" applyNumberFormat="1" applyFont="1" applyFill="1" applyBorder="1" applyAlignment="1">
      <alignment horizontal="left" vertical="center"/>
    </xf>
    <xf numFmtId="178" fontId="7" fillId="0" borderId="30" xfId="0" applyNumberFormat="1" applyFont="1" applyFill="1" applyBorder="1" applyAlignment="1">
      <alignment horizontal="left" vertical="center"/>
    </xf>
    <xf numFmtId="178" fontId="7" fillId="0" borderId="84" xfId="0" applyNumberFormat="1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Continuous" vertical="center"/>
    </xf>
    <xf numFmtId="0" fontId="30" fillId="28" borderId="85" xfId="0" quotePrefix="1" applyFont="1" applyFill="1" applyBorder="1" applyAlignment="1">
      <alignment horizontal="center" vertical="center" wrapText="1"/>
    </xf>
    <xf numFmtId="0" fontId="29" fillId="28" borderId="86" xfId="0" quotePrefix="1" applyFont="1" applyFill="1" applyBorder="1" applyAlignment="1">
      <alignment horizontal="center" vertical="center" wrapText="1"/>
    </xf>
    <xf numFmtId="0" fontId="29" fillId="28" borderId="87" xfId="0" applyFont="1" applyFill="1" applyBorder="1" applyAlignment="1">
      <alignment horizontal="center" vertical="center" wrapText="1"/>
    </xf>
    <xf numFmtId="0" fontId="30" fillId="30" borderId="87" xfId="0" quotePrefix="1" applyFont="1" applyFill="1" applyBorder="1" applyAlignment="1">
      <alignment horizontal="center" vertical="center"/>
    </xf>
    <xf numFmtId="0" fontId="2" fillId="33" borderId="0" xfId="0" applyFont="1" applyFill="1">
      <alignment vertical="center"/>
    </xf>
    <xf numFmtId="0" fontId="2" fillId="33" borderId="0" xfId="0" applyFont="1" applyFill="1" applyBorder="1">
      <alignment vertical="center"/>
    </xf>
    <xf numFmtId="41" fontId="7" fillId="33" borderId="0" xfId="33" applyFont="1" applyFill="1" applyBorder="1" applyAlignment="1">
      <alignment horizontal="center" vertical="center"/>
    </xf>
    <xf numFmtId="41" fontId="2" fillId="33" borderId="0" xfId="33" applyFont="1" applyFill="1" applyBorder="1">
      <alignment vertical="center"/>
    </xf>
    <xf numFmtId="41" fontId="2" fillId="33" borderId="0" xfId="0" applyNumberFormat="1" applyFont="1" applyFill="1" applyBorder="1">
      <alignment vertical="center"/>
    </xf>
    <xf numFmtId="0" fontId="7" fillId="33" borderId="0" xfId="0" applyFont="1" applyFill="1">
      <alignment vertical="center"/>
    </xf>
    <xf numFmtId="0" fontId="0" fillId="33" borderId="0" xfId="0" applyFill="1">
      <alignment vertical="center"/>
    </xf>
    <xf numFmtId="41" fontId="7" fillId="0" borderId="88" xfId="33" applyFont="1" applyBorder="1" applyAlignment="1">
      <alignment horizontal="center" vertical="center"/>
    </xf>
    <xf numFmtId="41" fontId="7" fillId="0" borderId="0" xfId="33" applyFont="1" applyBorder="1" applyAlignment="1">
      <alignment horizontal="center" vertical="center"/>
    </xf>
    <xf numFmtId="41" fontId="7" fillId="0" borderId="56" xfId="0" applyNumberFormat="1" applyFont="1" applyBorder="1">
      <alignment vertical="center"/>
    </xf>
    <xf numFmtId="41" fontId="7" fillId="0" borderId="60" xfId="33" applyFont="1" applyBorder="1">
      <alignment vertical="center"/>
    </xf>
    <xf numFmtId="41" fontId="7" fillId="0" borderId="56" xfId="33" applyFont="1" applyBorder="1">
      <alignment vertical="center"/>
    </xf>
    <xf numFmtId="0" fontId="2" fillId="0" borderId="0" xfId="0" applyFont="1" applyFill="1">
      <alignment vertical="center"/>
    </xf>
    <xf numFmtId="41" fontId="7" fillId="0" borderId="0" xfId="33" applyFont="1" applyFill="1" applyBorder="1" applyAlignment="1">
      <alignment horizontal="center" vertical="center"/>
    </xf>
    <xf numFmtId="41" fontId="2" fillId="0" borderId="0" xfId="33" applyFont="1" applyFill="1" applyBorder="1">
      <alignment vertical="center"/>
    </xf>
    <xf numFmtId="41" fontId="2" fillId="0" borderId="0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41" fontId="6" fillId="0" borderId="0" xfId="33" applyFont="1" applyFill="1">
      <alignment vertical="center"/>
    </xf>
    <xf numFmtId="0" fontId="42" fillId="0" borderId="0" xfId="0" applyFont="1" applyFill="1">
      <alignment vertical="center"/>
    </xf>
    <xf numFmtId="177" fontId="4" fillId="0" borderId="89" xfId="33" applyNumberFormat="1" applyFont="1" applyFill="1" applyBorder="1" applyAlignment="1">
      <alignment horizontal="center" vertical="center"/>
    </xf>
    <xf numFmtId="176" fontId="4" fillId="0" borderId="90" xfId="29" applyNumberFormat="1" applyFont="1" applyFill="1" applyBorder="1" applyAlignment="1">
      <alignment horizontal="center" vertical="center"/>
    </xf>
    <xf numFmtId="177" fontId="4" fillId="0" borderId="11" xfId="33" applyNumberFormat="1" applyFont="1" applyFill="1" applyBorder="1" applyAlignment="1">
      <alignment horizontal="center" vertical="center"/>
    </xf>
    <xf numFmtId="41" fontId="61" fillId="0" borderId="0" xfId="33" applyFont="1" applyFill="1" applyBorder="1" applyAlignment="1">
      <alignment vertical="center"/>
    </xf>
    <xf numFmtId="176" fontId="61" fillId="0" borderId="0" xfId="29" applyNumberFormat="1" applyFont="1" applyFill="1" applyBorder="1" applyAlignment="1">
      <alignment vertical="center"/>
    </xf>
    <xf numFmtId="176" fontId="34" fillId="29" borderId="57" xfId="29" applyNumberFormat="1" applyFont="1" applyFill="1" applyBorder="1" applyAlignment="1">
      <alignment vertical="center"/>
    </xf>
    <xf numFmtId="176" fontId="34" fillId="29" borderId="91" xfId="29" applyNumberFormat="1" applyFont="1" applyFill="1" applyBorder="1" applyAlignment="1">
      <alignment vertical="center"/>
    </xf>
    <xf numFmtId="176" fontId="34" fillId="0" borderId="91" xfId="29" applyNumberFormat="1" applyFont="1" applyFill="1" applyBorder="1" applyAlignment="1">
      <alignment vertical="center"/>
    </xf>
    <xf numFmtId="41" fontId="35" fillId="0" borderId="92" xfId="33" applyFont="1" applyBorder="1" applyAlignment="1">
      <alignment vertical="center"/>
    </xf>
    <xf numFmtId="176" fontId="34" fillId="29" borderId="53" xfId="29" applyNumberFormat="1" applyFont="1" applyFill="1" applyBorder="1" applyAlignment="1">
      <alignment vertical="center"/>
    </xf>
    <xf numFmtId="176" fontId="34" fillId="29" borderId="54" xfId="29" applyNumberFormat="1" applyFont="1" applyFill="1" applyBorder="1" applyAlignment="1">
      <alignment vertical="center"/>
    </xf>
    <xf numFmtId="176" fontId="34" fillId="0" borderId="54" xfId="29" applyNumberFormat="1" applyFont="1" applyFill="1" applyBorder="1" applyAlignment="1">
      <alignment vertical="center"/>
    </xf>
    <xf numFmtId="176" fontId="34" fillId="29" borderId="39" xfId="29" applyNumberFormat="1" applyFont="1" applyFill="1" applyBorder="1" applyAlignment="1">
      <alignment vertical="center"/>
    </xf>
    <xf numFmtId="176" fontId="34" fillId="29" borderId="94" xfId="29" applyNumberFormat="1" applyFont="1" applyFill="1" applyBorder="1" applyAlignment="1">
      <alignment vertical="center"/>
    </xf>
    <xf numFmtId="176" fontId="34" fillId="0" borderId="94" xfId="29" applyNumberFormat="1" applyFont="1" applyFill="1" applyBorder="1" applyAlignment="1">
      <alignment vertical="center"/>
    </xf>
    <xf numFmtId="41" fontId="35" fillId="29" borderId="95" xfId="33" applyFont="1" applyFill="1" applyBorder="1" applyAlignment="1">
      <alignment vertical="center"/>
    </xf>
    <xf numFmtId="176" fontId="34" fillId="29" borderId="41" xfId="29" applyNumberFormat="1" applyFont="1" applyFill="1" applyBorder="1" applyAlignment="1">
      <alignment vertical="center"/>
    </xf>
    <xf numFmtId="176" fontId="34" fillId="29" borderId="58" xfId="29" applyNumberFormat="1" applyFont="1" applyFill="1" applyBorder="1" applyAlignment="1">
      <alignment vertical="center"/>
    </xf>
    <xf numFmtId="176" fontId="34" fillId="29" borderId="96" xfId="29" applyNumberFormat="1" applyFont="1" applyFill="1" applyBorder="1" applyAlignment="1">
      <alignment vertical="center"/>
    </xf>
    <xf numFmtId="176" fontId="34" fillId="0" borderId="96" xfId="29" applyNumberFormat="1" applyFont="1" applyFill="1" applyBorder="1" applyAlignment="1">
      <alignment vertical="center"/>
    </xf>
    <xf numFmtId="176" fontId="34" fillId="29" borderId="98" xfId="29" applyNumberFormat="1" applyFont="1" applyFill="1" applyBorder="1" applyAlignment="1">
      <alignment vertical="center"/>
    </xf>
    <xf numFmtId="0" fontId="48" fillId="0" borderId="0" xfId="46" applyFont="1" applyAlignment="1">
      <alignment horizontal="left" vertical="top"/>
    </xf>
    <xf numFmtId="0" fontId="49" fillId="0" borderId="0" xfId="46" applyFont="1" applyAlignment="1">
      <alignment horizontal="left" vertical="top"/>
    </xf>
    <xf numFmtId="0" fontId="50" fillId="0" borderId="0" xfId="46" applyFont="1" applyAlignment="1">
      <alignment horizontal="center" vertical="center"/>
    </xf>
    <xf numFmtId="0" fontId="50" fillId="0" borderId="0" xfId="46" applyFont="1" applyAlignment="1">
      <alignment vertical="center"/>
    </xf>
    <xf numFmtId="0" fontId="52" fillId="34" borderId="99" xfId="0" quotePrefix="1" applyFont="1" applyFill="1" applyBorder="1" applyAlignment="1">
      <alignment horizontal="center" vertical="center" wrapText="1"/>
    </xf>
    <xf numFmtId="0" fontId="53" fillId="30" borderId="100" xfId="46" applyFont="1" applyFill="1" applyBorder="1" applyAlignment="1">
      <alignment horizontal="center" vertical="center"/>
    </xf>
    <xf numFmtId="179" fontId="52" fillId="34" borderId="46" xfId="0" quotePrefix="1" applyNumberFormat="1" applyFont="1" applyFill="1" applyBorder="1" applyAlignment="1">
      <alignment horizontal="center" vertical="center"/>
    </xf>
    <xf numFmtId="0" fontId="53" fillId="30" borderId="101" xfId="46" applyFont="1" applyFill="1" applyBorder="1" applyAlignment="1">
      <alignment horizontal="center" vertical="center" wrapText="1"/>
    </xf>
    <xf numFmtId="0" fontId="53" fillId="30" borderId="54" xfId="46" applyFont="1" applyFill="1" applyBorder="1" applyAlignment="1">
      <alignment horizontal="center" vertical="center" wrapText="1"/>
    </xf>
    <xf numFmtId="176" fontId="34" fillId="27" borderId="39" xfId="29" applyNumberFormat="1" applyFont="1" applyFill="1" applyBorder="1" applyAlignment="1">
      <alignment vertical="center"/>
    </xf>
    <xf numFmtId="176" fontId="34" fillId="27" borderId="94" xfId="29" applyNumberFormat="1" applyFont="1" applyFill="1" applyBorder="1" applyAlignment="1">
      <alignment vertical="center"/>
    </xf>
    <xf numFmtId="41" fontId="54" fillId="27" borderId="102" xfId="33" applyFont="1" applyFill="1" applyBorder="1" applyAlignment="1">
      <alignment vertical="center"/>
    </xf>
    <xf numFmtId="176" fontId="34" fillId="27" borderId="103" xfId="29" applyNumberFormat="1" applyFont="1" applyFill="1" applyBorder="1" applyAlignment="1">
      <alignment vertical="center"/>
    </xf>
    <xf numFmtId="41" fontId="54" fillId="27" borderId="50" xfId="33" applyFont="1" applyFill="1" applyBorder="1" applyAlignment="1">
      <alignment vertical="center"/>
    </xf>
    <xf numFmtId="0" fontId="33" fillId="35" borderId="72" xfId="46" applyFont="1" applyFill="1" applyBorder="1" applyAlignment="1">
      <alignment vertical="center" wrapText="1"/>
    </xf>
    <xf numFmtId="176" fontId="34" fillId="0" borderId="56" xfId="29" applyNumberFormat="1" applyFont="1" applyFill="1" applyBorder="1" applyAlignment="1">
      <alignment vertical="center"/>
    </xf>
    <xf numFmtId="176" fontId="34" fillId="0" borderId="104" xfId="29" applyNumberFormat="1" applyFont="1" applyFill="1" applyBorder="1" applyAlignment="1">
      <alignment vertical="center"/>
    </xf>
    <xf numFmtId="41" fontId="57" fillId="0" borderId="105" xfId="33" applyFont="1" applyFill="1" applyBorder="1" applyAlignment="1">
      <alignment vertical="center"/>
    </xf>
    <xf numFmtId="176" fontId="34" fillId="0" borderId="104" xfId="29" applyNumberFormat="1" applyFont="1" applyBorder="1" applyAlignment="1">
      <alignment vertical="center"/>
    </xf>
    <xf numFmtId="0" fontId="33" fillId="35" borderId="106" xfId="46" applyFont="1" applyFill="1" applyBorder="1" applyAlignment="1">
      <alignment vertical="center" wrapText="1"/>
    </xf>
    <xf numFmtId="41" fontId="57" fillId="0" borderId="93" xfId="33" applyFont="1" applyFill="1" applyBorder="1" applyAlignment="1">
      <alignment vertical="center"/>
    </xf>
    <xf numFmtId="41" fontId="57" fillId="0" borderId="107" xfId="33" applyFont="1" applyFill="1" applyBorder="1" applyAlignment="1">
      <alignment vertical="center"/>
    </xf>
    <xf numFmtId="41" fontId="54" fillId="0" borderId="0" xfId="33" applyFont="1" applyFill="1" applyBorder="1" applyAlignment="1">
      <alignment vertical="center"/>
    </xf>
    <xf numFmtId="0" fontId="33" fillId="35" borderId="45" xfId="46" applyFont="1" applyFill="1" applyBorder="1" applyAlignment="1">
      <alignment vertical="center" wrapText="1"/>
    </xf>
    <xf numFmtId="41" fontId="56" fillId="0" borderId="25" xfId="0" applyNumberFormat="1" applyFont="1" applyFill="1" applyBorder="1" applyAlignment="1">
      <alignment vertical="center"/>
    </xf>
    <xf numFmtId="41" fontId="59" fillId="0" borderId="108" xfId="33" applyFont="1" applyBorder="1" applyAlignment="1">
      <alignment vertical="center"/>
    </xf>
    <xf numFmtId="41" fontId="59" fillId="0" borderId="108" xfId="33" quotePrefix="1" applyFont="1" applyBorder="1" applyAlignment="1">
      <alignment horizontal="center" vertical="center"/>
    </xf>
    <xf numFmtId="41" fontId="59" fillId="0" borderId="109" xfId="33" applyFont="1" applyBorder="1" applyAlignment="1">
      <alignment horizontal="right" vertical="center"/>
    </xf>
    <xf numFmtId="41" fontId="59" fillId="0" borderId="85" xfId="33" applyFont="1" applyBorder="1" applyAlignment="1">
      <alignment vertical="center"/>
    </xf>
    <xf numFmtId="41" fontId="59" fillId="0" borderId="110" xfId="33" applyFont="1" applyFill="1" applyBorder="1" applyAlignment="1">
      <alignment vertical="center"/>
    </xf>
    <xf numFmtId="41" fontId="59" fillId="0" borderId="46" xfId="33" applyFont="1" applyBorder="1" applyAlignment="1">
      <alignment vertical="center"/>
    </xf>
    <xf numFmtId="41" fontId="59" fillId="0" borderId="110" xfId="33" applyFont="1" applyBorder="1" applyAlignment="1">
      <alignment vertical="center"/>
    </xf>
    <xf numFmtId="41" fontId="59" fillId="0" borderId="85" xfId="33" applyFont="1" applyFill="1" applyBorder="1" applyAlignment="1">
      <alignment vertical="center"/>
    </xf>
    <xf numFmtId="41" fontId="59" fillId="27" borderId="111" xfId="33" applyFont="1" applyFill="1" applyBorder="1" applyAlignment="1">
      <alignment vertical="center"/>
    </xf>
    <xf numFmtId="41" fontId="59" fillId="0" borderId="0" xfId="33" applyFont="1" applyFill="1" applyBorder="1" applyAlignment="1">
      <alignment vertical="center"/>
    </xf>
    <xf numFmtId="177" fontId="5" fillId="32" borderId="112" xfId="33" applyNumberFormat="1" applyFont="1" applyFill="1" applyBorder="1" applyAlignment="1">
      <alignment horizontal="center" vertical="center"/>
    </xf>
    <xf numFmtId="176" fontId="34" fillId="29" borderId="42" xfId="29" applyNumberFormat="1" applyFont="1" applyFill="1" applyBorder="1" applyAlignment="1">
      <alignment vertical="center"/>
    </xf>
    <xf numFmtId="41" fontId="59" fillId="27" borderId="113" xfId="33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77" fontId="4" fillId="33" borderId="0" xfId="33" applyNumberFormat="1" applyFont="1" applyFill="1" applyBorder="1" applyAlignment="1">
      <alignment horizontal="center" vertical="center"/>
    </xf>
    <xf numFmtId="0" fontId="4" fillId="33" borderId="0" xfId="0" applyFont="1" applyFill="1">
      <alignment vertical="center"/>
    </xf>
    <xf numFmtId="0" fontId="4" fillId="33" borderId="0" xfId="0" applyFont="1" applyFill="1" applyAlignment="1">
      <alignment horizontal="center" vertical="center"/>
    </xf>
    <xf numFmtId="177" fontId="5" fillId="32" borderId="65" xfId="33" applyNumberFormat="1" applyFont="1" applyFill="1" applyBorder="1" applyAlignment="1">
      <alignment horizontal="center" vertical="center"/>
    </xf>
    <xf numFmtId="41" fontId="59" fillId="27" borderId="46" xfId="33" applyFont="1" applyFill="1" applyBorder="1" applyAlignment="1">
      <alignment vertical="center"/>
    </xf>
    <xf numFmtId="176" fontId="34" fillId="27" borderId="114" xfId="29" applyNumberFormat="1" applyFont="1" applyFill="1" applyBorder="1" applyAlignment="1">
      <alignment vertical="center"/>
    </xf>
    <xf numFmtId="176" fontId="34" fillId="27" borderId="115" xfId="29" applyNumberFormat="1" applyFont="1" applyFill="1" applyBorder="1" applyAlignment="1">
      <alignment vertical="center"/>
    </xf>
    <xf numFmtId="41" fontId="35" fillId="27" borderId="21" xfId="33" applyFont="1" applyFill="1" applyBorder="1" applyAlignment="1">
      <alignment vertical="center"/>
    </xf>
    <xf numFmtId="0" fontId="62" fillId="27" borderId="38" xfId="0" applyFont="1" applyFill="1" applyBorder="1" applyAlignment="1">
      <alignment horizontal="centerContinuous" vertical="center"/>
    </xf>
    <xf numFmtId="183" fontId="5" fillId="32" borderId="64" xfId="0" applyNumberFormat="1" applyFont="1" applyFill="1" applyBorder="1" applyAlignment="1">
      <alignment horizontal="center" wrapText="1"/>
    </xf>
    <xf numFmtId="180" fontId="5" fillId="32" borderId="116" xfId="0" applyNumberFormat="1" applyFont="1" applyFill="1" applyBorder="1" applyAlignment="1">
      <alignment horizontal="center" vertical="top"/>
    </xf>
    <xf numFmtId="176" fontId="34" fillId="0" borderId="117" xfId="29" applyNumberFormat="1" applyFont="1" applyFill="1" applyBorder="1" applyAlignment="1">
      <alignment vertical="center"/>
    </xf>
    <xf numFmtId="41" fontId="2" fillId="25" borderId="55" xfId="33" applyFont="1" applyFill="1" applyBorder="1">
      <alignment vertical="center"/>
    </xf>
    <xf numFmtId="41" fontId="7" fillId="0" borderId="42" xfId="33" applyFont="1" applyBorder="1" applyAlignment="1">
      <alignment horizontal="center" vertical="center"/>
    </xf>
    <xf numFmtId="41" fontId="7" fillId="0" borderId="58" xfId="33" applyFont="1" applyBorder="1" applyAlignment="1">
      <alignment horizontal="center" vertical="center"/>
    </xf>
    <xf numFmtId="41" fontId="7" fillId="0" borderId="118" xfId="33" applyFont="1" applyBorder="1" applyAlignment="1">
      <alignment horizontal="center" vertical="center"/>
    </xf>
    <xf numFmtId="41" fontId="7" fillId="0" borderId="119" xfId="33" applyFont="1" applyBorder="1" applyAlignment="1">
      <alignment horizontal="center" vertical="center"/>
    </xf>
    <xf numFmtId="41" fontId="2" fillId="33" borderId="56" xfId="33" applyFont="1" applyFill="1" applyBorder="1">
      <alignment vertical="center"/>
    </xf>
    <xf numFmtId="41" fontId="2" fillId="33" borderId="56" xfId="0" applyNumberFormat="1" applyFont="1" applyFill="1" applyBorder="1">
      <alignment vertical="center"/>
    </xf>
    <xf numFmtId="41" fontId="54" fillId="0" borderId="0" xfId="33" applyFont="1">
      <alignment vertical="center"/>
    </xf>
    <xf numFmtId="41" fontId="54" fillId="27" borderId="95" xfId="33" applyFont="1" applyFill="1" applyBorder="1">
      <alignment vertical="center"/>
    </xf>
    <xf numFmtId="176" fontId="34" fillId="0" borderId="55" xfId="29" applyNumberFormat="1" applyFont="1" applyFill="1" applyBorder="1" applyAlignment="1">
      <alignment vertical="center"/>
    </xf>
    <xf numFmtId="176" fontId="34" fillId="0" borderId="117" xfId="29" applyNumberFormat="1" applyFont="1" applyBorder="1" applyAlignment="1">
      <alignment vertical="center"/>
    </xf>
    <xf numFmtId="41" fontId="0" fillId="0" borderId="0" xfId="0" applyNumberFormat="1">
      <alignment vertical="center"/>
    </xf>
    <xf numFmtId="177" fontId="4" fillId="32" borderId="112" xfId="33" applyNumberFormat="1" applyFont="1" applyFill="1" applyBorder="1" applyAlignment="1">
      <alignment horizontal="center" vertical="center"/>
    </xf>
    <xf numFmtId="177" fontId="4" fillId="26" borderId="65" xfId="33" applyNumberFormat="1" applyFont="1" applyFill="1" applyBorder="1" applyAlignment="1">
      <alignment horizontal="center" vertical="center"/>
    </xf>
    <xf numFmtId="176" fontId="4" fillId="0" borderId="73" xfId="29" applyNumberFormat="1" applyFont="1" applyBorder="1" applyAlignment="1">
      <alignment horizontal="center" vertical="center"/>
    </xf>
    <xf numFmtId="176" fontId="4" fillId="0" borderId="120" xfId="29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4" fillId="32" borderId="121" xfId="33" applyNumberFormat="1" applyFont="1" applyFill="1" applyBorder="1" applyAlignment="1">
      <alignment horizontal="center" vertical="center"/>
    </xf>
    <xf numFmtId="176" fontId="4" fillId="0" borderId="122" xfId="29" applyNumberFormat="1" applyFont="1" applyFill="1" applyBorder="1" applyAlignment="1">
      <alignment horizontal="center" vertical="center"/>
    </xf>
    <xf numFmtId="183" fontId="4" fillId="32" borderId="64" xfId="0" applyNumberFormat="1" applyFont="1" applyFill="1" applyBorder="1" applyAlignment="1">
      <alignment horizontal="center"/>
    </xf>
    <xf numFmtId="179" fontId="4" fillId="32" borderId="65" xfId="0" applyNumberFormat="1" applyFont="1" applyFill="1" applyBorder="1" applyAlignment="1">
      <alignment horizontal="center" vertical="top"/>
    </xf>
    <xf numFmtId="41" fontId="35" fillId="0" borderId="108" xfId="33" quotePrefix="1" applyFont="1" applyBorder="1" applyAlignment="1">
      <alignment horizontal="center" vertical="center"/>
    </xf>
    <xf numFmtId="41" fontId="35" fillId="0" borderId="109" xfId="33" applyFont="1" applyBorder="1" applyAlignment="1">
      <alignment horizontal="right" vertical="center"/>
    </xf>
    <xf numFmtId="41" fontId="35" fillId="27" borderId="46" xfId="33" applyFont="1" applyFill="1" applyBorder="1">
      <alignment vertical="center"/>
    </xf>
    <xf numFmtId="41" fontId="35" fillId="0" borderId="0" xfId="33" applyFont="1">
      <alignment vertical="center"/>
    </xf>
    <xf numFmtId="176" fontId="34" fillId="33" borderId="104" xfId="29" applyNumberFormat="1" applyFont="1" applyFill="1" applyBorder="1" applyAlignment="1">
      <alignment vertical="center"/>
    </xf>
    <xf numFmtId="177" fontId="5" fillId="33" borderId="0" xfId="33" applyNumberFormat="1" applyFont="1" applyFill="1" applyBorder="1" applyAlignment="1">
      <alignment horizontal="center" vertical="center"/>
    </xf>
    <xf numFmtId="176" fontId="4" fillId="33" borderId="0" xfId="29" applyNumberFormat="1" applyFont="1" applyFill="1" applyBorder="1" applyAlignment="1">
      <alignment horizontal="center" vertical="center"/>
    </xf>
    <xf numFmtId="41" fontId="7" fillId="25" borderId="123" xfId="33" applyFont="1" applyFill="1" applyBorder="1" applyAlignment="1">
      <alignment horizontal="center" vertical="center"/>
    </xf>
    <xf numFmtId="41" fontId="7" fillId="26" borderId="120" xfId="33" applyFont="1" applyFill="1" applyBorder="1" applyAlignment="1">
      <alignment horizontal="center" vertical="center"/>
    </xf>
    <xf numFmtId="176" fontId="34" fillId="0" borderId="101" xfId="29" applyNumberFormat="1" applyFont="1" applyFill="1" applyBorder="1" applyAlignment="1">
      <alignment vertical="center"/>
    </xf>
    <xf numFmtId="176" fontId="54" fillId="0" borderId="75" xfId="29" applyNumberFormat="1" applyFont="1" applyFill="1" applyBorder="1" applyAlignment="1">
      <alignment vertical="center"/>
    </xf>
    <xf numFmtId="176" fontId="34" fillId="27" borderId="124" xfId="29" applyNumberFormat="1" applyFont="1" applyFill="1" applyBorder="1" applyAlignment="1">
      <alignment vertical="center"/>
    </xf>
    <xf numFmtId="176" fontId="34" fillId="0" borderId="54" xfId="29" applyNumberFormat="1" applyFont="1" applyBorder="1" applyAlignment="1">
      <alignment vertical="center"/>
    </xf>
    <xf numFmtId="176" fontId="34" fillId="0" borderId="53" xfId="29" applyNumberFormat="1" applyFont="1" applyFill="1" applyBorder="1" applyAlignment="1">
      <alignment vertical="center"/>
    </xf>
    <xf numFmtId="176" fontId="34" fillId="0" borderId="76" xfId="29" applyNumberFormat="1" applyFont="1" applyFill="1" applyBorder="1" applyAlignment="1">
      <alignment vertical="center"/>
    </xf>
    <xf numFmtId="176" fontId="34" fillId="0" borderId="77" xfId="29" applyNumberFormat="1" applyFont="1" applyFill="1" applyBorder="1" applyAlignment="1">
      <alignment vertical="center"/>
    </xf>
    <xf numFmtId="176" fontId="34" fillId="0" borderId="77" xfId="29" applyNumberFormat="1" applyFont="1" applyBorder="1" applyAlignment="1">
      <alignment vertical="center"/>
    </xf>
    <xf numFmtId="41" fontId="54" fillId="27" borderId="85" xfId="33" applyFont="1" applyFill="1" applyBorder="1">
      <alignment vertical="center"/>
    </xf>
    <xf numFmtId="41" fontId="57" fillId="0" borderId="62" xfId="34" applyFont="1" applyBorder="1" applyAlignment="1">
      <alignment horizontal="center" vertical="center"/>
    </xf>
    <xf numFmtId="41" fontId="57" fillId="0" borderId="125" xfId="33" applyFont="1" applyFill="1" applyBorder="1" applyAlignment="1">
      <alignment vertical="center"/>
    </xf>
    <xf numFmtId="41" fontId="57" fillId="0" borderId="109" xfId="33" applyFont="1" applyFill="1" applyBorder="1" applyAlignment="1">
      <alignment vertical="center"/>
    </xf>
    <xf numFmtId="41" fontId="54" fillId="27" borderId="126" xfId="33" applyFont="1" applyFill="1" applyBorder="1" applyAlignment="1">
      <alignment vertical="center"/>
    </xf>
    <xf numFmtId="41" fontId="57" fillId="0" borderId="127" xfId="33" applyFont="1" applyFill="1" applyBorder="1" applyAlignment="1">
      <alignment vertical="center"/>
    </xf>
    <xf numFmtId="0" fontId="52" fillId="34" borderId="86" xfId="0" applyFont="1" applyFill="1" applyBorder="1" applyAlignment="1">
      <alignment horizontal="center" vertical="center" wrapText="1"/>
    </xf>
    <xf numFmtId="179" fontId="52" fillId="34" borderId="38" xfId="0" applyNumberFormat="1" applyFont="1" applyFill="1" applyBorder="1" applyAlignment="1">
      <alignment horizontal="center" vertical="center"/>
    </xf>
    <xf numFmtId="0" fontId="52" fillId="34" borderId="128" xfId="0" quotePrefix="1" applyFont="1" applyFill="1" applyBorder="1" applyAlignment="1">
      <alignment horizontal="center" vertical="center" wrapText="1"/>
    </xf>
    <xf numFmtId="179" fontId="52" fillId="34" borderId="129" xfId="0" quotePrefix="1" applyNumberFormat="1" applyFont="1" applyFill="1" applyBorder="1" applyAlignment="1">
      <alignment horizontal="center" vertical="center"/>
    </xf>
    <xf numFmtId="41" fontId="54" fillId="0" borderId="75" xfId="33" applyFont="1" applyFill="1" applyBorder="1" applyAlignment="1">
      <alignment vertical="center"/>
    </xf>
    <xf numFmtId="179" fontId="29" fillId="28" borderId="129" xfId="0" applyNumberFormat="1" applyFont="1" applyFill="1" applyBorder="1" applyAlignment="1">
      <alignment horizontal="center" vertical="center"/>
    </xf>
    <xf numFmtId="179" fontId="29" fillId="28" borderId="129" xfId="0" quotePrefix="1" applyNumberFormat="1" applyFont="1" applyFill="1" applyBorder="1" applyAlignment="1">
      <alignment horizontal="center" vertical="center"/>
    </xf>
    <xf numFmtId="0" fontId="29" fillId="28" borderId="128" xfId="0" applyFont="1" applyFill="1" applyBorder="1" applyAlignment="1">
      <alignment horizontal="center" vertical="center" wrapText="1"/>
    </xf>
    <xf numFmtId="0" fontId="29" fillId="28" borderId="128" xfId="0" quotePrefix="1" applyFont="1" applyFill="1" applyBorder="1" applyAlignment="1">
      <alignment horizontal="center" vertical="center" wrapText="1"/>
    </xf>
    <xf numFmtId="41" fontId="57" fillId="0" borderId="105" xfId="34" applyFont="1" applyBorder="1" applyAlignment="1">
      <alignment horizontal="center" vertical="center"/>
    </xf>
    <xf numFmtId="176" fontId="34" fillId="29" borderId="0" xfId="29" applyNumberFormat="1" applyFont="1" applyFill="1" applyBorder="1" applyAlignment="1">
      <alignment vertical="center"/>
    </xf>
    <xf numFmtId="41" fontId="59" fillId="27" borderId="130" xfId="33" applyFont="1" applyFill="1" applyBorder="1" applyAlignment="1">
      <alignment vertical="center"/>
    </xf>
    <xf numFmtId="176" fontId="34" fillId="27" borderId="131" xfId="29" applyNumberFormat="1" applyFont="1" applyFill="1" applyBorder="1" applyAlignment="1">
      <alignment vertical="center"/>
    </xf>
    <xf numFmtId="176" fontId="34" fillId="27" borderId="122" xfId="29" applyNumberFormat="1" applyFont="1" applyFill="1" applyBorder="1" applyAlignment="1">
      <alignment vertical="center"/>
    </xf>
    <xf numFmtId="41" fontId="35" fillId="27" borderId="130" xfId="33" applyFont="1" applyFill="1" applyBorder="1">
      <alignment vertical="center"/>
    </xf>
    <xf numFmtId="41" fontId="56" fillId="0" borderId="132" xfId="0" applyNumberFormat="1" applyFont="1" applyBorder="1">
      <alignment vertical="center"/>
    </xf>
    <xf numFmtId="41" fontId="54" fillId="27" borderId="133" xfId="33" applyFont="1" applyFill="1" applyBorder="1">
      <alignment vertical="center"/>
    </xf>
    <xf numFmtId="41" fontId="57" fillId="0" borderId="134" xfId="33" applyFont="1" applyBorder="1">
      <alignment vertical="center"/>
    </xf>
    <xf numFmtId="41" fontId="54" fillId="27" borderId="135" xfId="33" applyFont="1" applyFill="1" applyBorder="1">
      <alignment vertical="center"/>
    </xf>
    <xf numFmtId="41" fontId="57" fillId="0" borderId="136" xfId="33" applyFont="1" applyBorder="1">
      <alignment vertical="center"/>
    </xf>
    <xf numFmtId="41" fontId="57" fillId="0" borderId="137" xfId="33" applyFont="1" applyBorder="1">
      <alignment vertical="center"/>
    </xf>
    <xf numFmtId="41" fontId="54" fillId="27" borderId="138" xfId="33" applyFont="1" applyFill="1" applyBorder="1">
      <alignment vertical="center"/>
    </xf>
    <xf numFmtId="41" fontId="57" fillId="0" borderId="139" xfId="33" applyFont="1" applyBorder="1">
      <alignment vertical="center"/>
    </xf>
    <xf numFmtId="41" fontId="35" fillId="0" borderId="108" xfId="33" applyFont="1" applyBorder="1" applyAlignment="1">
      <alignment vertical="center"/>
    </xf>
    <xf numFmtId="41" fontId="54" fillId="27" borderId="87" xfId="33" applyFont="1" applyFill="1" applyBorder="1" applyAlignment="1">
      <alignment vertical="center"/>
    </xf>
    <xf numFmtId="41" fontId="57" fillId="0" borderId="140" xfId="33" applyFont="1" applyFill="1" applyBorder="1" applyAlignment="1">
      <alignment vertical="center"/>
    </xf>
    <xf numFmtId="41" fontId="56" fillId="0" borderId="29" xfId="0" applyNumberFormat="1" applyFont="1" applyFill="1" applyBorder="1" applyAlignment="1">
      <alignment vertical="center"/>
    </xf>
    <xf numFmtId="41" fontId="56" fillId="0" borderId="113" xfId="0" applyNumberFormat="1" applyFont="1" applyBorder="1">
      <alignment vertical="center"/>
    </xf>
    <xf numFmtId="41" fontId="61" fillId="0" borderId="86" xfId="33" applyFont="1" applyFill="1" applyBorder="1" applyAlignment="1">
      <alignment vertical="center"/>
    </xf>
    <xf numFmtId="41" fontId="56" fillId="0" borderId="105" xfId="33" applyFont="1" applyBorder="1">
      <alignment vertical="center"/>
    </xf>
    <xf numFmtId="41" fontId="59" fillId="0" borderId="75" xfId="33" applyFont="1" applyFill="1" applyBorder="1" applyAlignment="1">
      <alignment vertical="center"/>
    </xf>
    <xf numFmtId="176" fontId="34" fillId="0" borderId="75" xfId="29" applyNumberFormat="1" applyFont="1" applyBorder="1" applyAlignment="1">
      <alignment vertical="center"/>
    </xf>
    <xf numFmtId="41" fontId="35" fillId="0" borderId="92" xfId="33" applyFont="1" applyBorder="1">
      <alignment vertical="center"/>
    </xf>
    <xf numFmtId="41" fontId="35" fillId="0" borderId="141" xfId="33" applyFont="1" applyBorder="1">
      <alignment vertical="center"/>
    </xf>
    <xf numFmtId="41" fontId="35" fillId="0" borderId="95" xfId="33" applyFont="1" applyBorder="1">
      <alignment vertical="center"/>
    </xf>
    <xf numFmtId="41" fontId="35" fillId="0" borderId="108" xfId="33" applyFont="1" applyBorder="1">
      <alignment vertical="center"/>
    </xf>
    <xf numFmtId="41" fontId="35" fillId="0" borderId="85" xfId="33" applyFont="1" applyBorder="1">
      <alignment vertical="center"/>
    </xf>
    <xf numFmtId="41" fontId="35" fillId="0" borderId="110" xfId="33" applyFont="1" applyBorder="1">
      <alignment vertical="center"/>
    </xf>
    <xf numFmtId="41" fontId="35" fillId="0" borderId="46" xfId="33" applyFont="1" applyBorder="1">
      <alignment vertical="center"/>
    </xf>
    <xf numFmtId="41" fontId="35" fillId="27" borderId="111" xfId="33" applyFont="1" applyFill="1" applyBorder="1">
      <alignment vertical="center"/>
    </xf>
    <xf numFmtId="41" fontId="35" fillId="0" borderId="159" xfId="33" applyFont="1" applyBorder="1">
      <alignment vertical="center"/>
    </xf>
    <xf numFmtId="41" fontId="35" fillId="0" borderId="128" xfId="33" applyFont="1" applyBorder="1" applyAlignment="1">
      <alignment vertical="center"/>
    </xf>
    <xf numFmtId="41" fontId="35" fillId="0" borderId="92" xfId="33" quotePrefix="1" applyFont="1" applyBorder="1" applyAlignment="1">
      <alignment horizontal="center" vertical="center"/>
    </xf>
    <xf numFmtId="41" fontId="35" fillId="0" borderId="93" xfId="33" applyFont="1" applyBorder="1">
      <alignment vertical="center"/>
    </xf>
    <xf numFmtId="41" fontId="35" fillId="0" borderId="97" xfId="33" applyFont="1" applyBorder="1">
      <alignment vertical="center"/>
    </xf>
    <xf numFmtId="0" fontId="4" fillId="0" borderId="14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49" fontId="4" fillId="0" borderId="99" xfId="0" applyNumberFormat="1" applyFont="1" applyBorder="1" applyAlignment="1">
      <alignment horizontal="center" vertical="center"/>
    </xf>
    <xf numFmtId="49" fontId="4" fillId="0" borderId="100" xfId="0" applyNumberFormat="1" applyFont="1" applyBorder="1" applyAlignment="1">
      <alignment horizontal="center" vertical="center"/>
    </xf>
    <xf numFmtId="49" fontId="4" fillId="0" borderId="144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 horizontal="left" vertical="center"/>
    </xf>
    <xf numFmtId="49" fontId="4" fillId="0" borderId="145" xfId="0" applyNumberFormat="1" applyFont="1" applyBorder="1" applyAlignment="1">
      <alignment horizontal="center" vertical="center" wrapText="1"/>
    </xf>
    <xf numFmtId="49" fontId="4" fillId="0" borderId="120" xfId="0" applyNumberFormat="1" applyFont="1" applyBorder="1" applyAlignment="1">
      <alignment horizontal="center" vertical="center" wrapText="1"/>
    </xf>
    <xf numFmtId="49" fontId="4" fillId="0" borderId="146" xfId="0" applyNumberFormat="1" applyFont="1" applyBorder="1" applyAlignment="1">
      <alignment horizontal="center" vertical="center" wrapText="1"/>
    </xf>
    <xf numFmtId="49" fontId="4" fillId="0" borderId="147" xfId="0" applyNumberFormat="1" applyFont="1" applyBorder="1" applyAlignment="1">
      <alignment horizontal="center" vertical="center" wrapText="1"/>
    </xf>
    <xf numFmtId="0" fontId="4" fillId="0" borderId="14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178" fontId="7" fillId="0" borderId="142" xfId="0" applyNumberFormat="1" applyFont="1" applyBorder="1" applyAlignment="1">
      <alignment horizontal="center" vertical="center"/>
    </xf>
    <xf numFmtId="178" fontId="7" fillId="0" borderId="150" xfId="0" applyNumberFormat="1" applyFont="1" applyBorder="1" applyAlignment="1">
      <alignment horizontal="center" vertical="center"/>
    </xf>
    <xf numFmtId="178" fontId="7" fillId="0" borderId="99" xfId="0" applyNumberFormat="1" applyFont="1" applyBorder="1" applyAlignment="1">
      <alignment horizontal="center" vertical="center" wrapText="1"/>
    </xf>
    <xf numFmtId="178" fontId="7" fillId="0" borderId="108" xfId="0" applyNumberFormat="1" applyFont="1" applyBorder="1" applyAlignment="1">
      <alignment horizontal="center" vertical="center" wrapText="1"/>
    </xf>
    <xf numFmtId="178" fontId="7" fillId="0" borderId="144" xfId="0" applyNumberFormat="1" applyFont="1" applyBorder="1" applyAlignment="1">
      <alignment horizontal="center" vertical="center" wrapText="1"/>
    </xf>
    <xf numFmtId="178" fontId="7" fillId="0" borderId="99" xfId="0" applyNumberFormat="1" applyFont="1" applyBorder="1" applyAlignment="1">
      <alignment horizontal="center" vertical="center"/>
    </xf>
    <xf numFmtId="178" fontId="7" fillId="0" borderId="108" xfId="0" applyNumberFormat="1" applyFont="1" applyBorder="1" applyAlignment="1">
      <alignment horizontal="center" vertical="center"/>
    </xf>
    <xf numFmtId="178" fontId="7" fillId="0" borderId="144" xfId="0" applyNumberFormat="1" applyFont="1" applyBorder="1" applyAlignment="1">
      <alignment horizontal="center" vertical="center"/>
    </xf>
    <xf numFmtId="178" fontId="7" fillId="0" borderId="154" xfId="0" applyNumberFormat="1" applyFont="1" applyBorder="1" applyAlignment="1">
      <alignment horizontal="center" vertical="center" wrapText="1"/>
    </xf>
    <xf numFmtId="178" fontId="7" fillId="0" borderId="92" xfId="0" applyNumberFormat="1" applyFont="1" applyBorder="1" applyAlignment="1">
      <alignment horizontal="center" vertical="center" wrapText="1"/>
    </xf>
    <xf numFmtId="178" fontId="7" fillId="0" borderId="46" xfId="0" applyNumberFormat="1" applyFont="1" applyBorder="1" applyAlignment="1">
      <alignment horizontal="center" vertical="center"/>
    </xf>
    <xf numFmtId="178" fontId="46" fillId="0" borderId="99" xfId="0" applyNumberFormat="1" applyFont="1" applyBorder="1" applyAlignment="1">
      <alignment horizontal="center" vertical="center" wrapText="1"/>
    </xf>
    <xf numFmtId="178" fontId="46" fillId="0" borderId="108" xfId="0" applyNumberFormat="1" applyFont="1" applyBorder="1" applyAlignment="1">
      <alignment horizontal="center" vertical="center" wrapText="1"/>
    </xf>
    <xf numFmtId="178" fontId="46" fillId="0" borderId="144" xfId="0" applyNumberFormat="1" applyFont="1" applyBorder="1" applyAlignment="1">
      <alignment horizontal="center" vertical="center" wrapText="1"/>
    </xf>
    <xf numFmtId="178" fontId="7" fillId="26" borderId="142" xfId="0" applyNumberFormat="1" applyFont="1" applyFill="1" applyBorder="1" applyAlignment="1">
      <alignment horizontal="center" vertical="center"/>
    </xf>
    <xf numFmtId="178" fontId="7" fillId="26" borderId="150" xfId="0" applyNumberFormat="1" applyFont="1" applyFill="1" applyBorder="1" applyAlignment="1">
      <alignment horizontal="center" vertical="center"/>
    </xf>
    <xf numFmtId="178" fontId="7" fillId="26" borderId="12" xfId="0" applyNumberFormat="1" applyFont="1" applyFill="1" applyBorder="1" applyAlignment="1">
      <alignment horizontal="center" vertical="center"/>
    </xf>
    <xf numFmtId="178" fontId="7" fillId="26" borderId="151" xfId="0" applyNumberFormat="1" applyFont="1" applyFill="1" applyBorder="1" applyAlignment="1">
      <alignment horizontal="center" vertical="center"/>
    </xf>
    <xf numFmtId="178" fontId="7" fillId="0" borderId="152" xfId="0" applyNumberFormat="1" applyFont="1" applyBorder="1" applyAlignment="1">
      <alignment horizontal="center" vertical="center"/>
    </xf>
    <xf numFmtId="178" fontId="7" fillId="0" borderId="153" xfId="0" applyNumberFormat="1" applyFont="1" applyBorder="1" applyAlignment="1">
      <alignment horizontal="center" vertical="center"/>
    </xf>
    <xf numFmtId="0" fontId="55" fillId="0" borderId="61" xfId="46" applyFont="1" applyFill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55" fillId="0" borderId="56" xfId="46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quotePrefix="1" applyFont="1" applyAlignment="1">
      <alignment vertical="center"/>
    </xf>
    <xf numFmtId="0" fontId="29" fillId="28" borderId="44" xfId="0" applyFont="1" applyFill="1" applyBorder="1" applyAlignment="1">
      <alignment horizontal="center" vertical="center"/>
    </xf>
    <xf numFmtId="0" fontId="29" fillId="28" borderId="86" xfId="0" applyFont="1" applyFill="1" applyBorder="1" applyAlignment="1">
      <alignment horizontal="center" vertical="center"/>
    </xf>
    <xf numFmtId="0" fontId="29" fillId="28" borderId="45" xfId="0" applyFont="1" applyFill="1" applyBorder="1" applyAlignment="1">
      <alignment horizontal="center" vertical="center"/>
    </xf>
    <xf numFmtId="0" fontId="29" fillId="28" borderId="38" xfId="0" applyFont="1" applyFill="1" applyBorder="1" applyAlignment="1">
      <alignment horizontal="center" vertical="center"/>
    </xf>
    <xf numFmtId="0" fontId="30" fillId="30" borderId="85" xfId="0" quotePrefix="1" applyFont="1" applyFill="1" applyBorder="1" applyAlignment="1">
      <alignment horizontal="center" vertical="center" wrapText="1"/>
    </xf>
    <xf numFmtId="0" fontId="30" fillId="30" borderId="46" xfId="0" applyFont="1" applyFill="1" applyBorder="1" applyAlignment="1">
      <alignment horizontal="center" vertical="center" wrapText="1"/>
    </xf>
    <xf numFmtId="0" fontId="29" fillId="28" borderId="50" xfId="0" quotePrefix="1" applyFont="1" applyFill="1" applyBorder="1" applyAlignment="1">
      <alignment horizontal="center" vertical="center" wrapText="1"/>
    </xf>
    <xf numFmtId="0" fontId="29" fillId="28" borderId="21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149" xfId="0" applyFont="1" applyBorder="1" applyAlignment="1">
      <alignment horizontal="center" vertical="center"/>
    </xf>
    <xf numFmtId="0" fontId="8" fillId="0" borderId="40" xfId="0" quotePrefix="1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/>
    </xf>
    <xf numFmtId="0" fontId="6" fillId="27" borderId="44" xfId="46" applyFont="1" applyFill="1" applyBorder="1" applyAlignment="1">
      <alignment horizontal="center" vertical="center"/>
    </xf>
    <xf numFmtId="0" fontId="6" fillId="27" borderId="86" xfId="46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58" fillId="0" borderId="75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6" fillId="27" borderId="87" xfId="46" applyFont="1" applyFill="1" applyBorder="1" applyAlignment="1">
      <alignment horizontal="center" vertical="center"/>
    </xf>
    <xf numFmtId="0" fontId="55" fillId="0" borderId="53" xfId="46" applyFont="1" applyFill="1" applyBorder="1" applyAlignment="1">
      <alignment horizontal="center" vertical="center"/>
    </xf>
    <xf numFmtId="0" fontId="55" fillId="0" borderId="140" xfId="46" applyFont="1" applyFill="1" applyBorder="1" applyAlignment="1">
      <alignment horizontal="center" vertical="center"/>
    </xf>
    <xf numFmtId="0" fontId="55" fillId="0" borderId="101" xfId="46" applyFont="1" applyFill="1" applyBorder="1" applyAlignment="1">
      <alignment horizontal="center" vertical="center"/>
    </xf>
    <xf numFmtId="0" fontId="51" fillId="30" borderId="50" xfId="46" quotePrefix="1" applyFont="1" applyFill="1" applyBorder="1" applyAlignment="1">
      <alignment horizontal="center" vertical="center" wrapText="1"/>
    </xf>
    <xf numFmtId="0" fontId="51" fillId="30" borderId="21" xfId="46" quotePrefix="1" applyFont="1" applyFill="1" applyBorder="1" applyAlignment="1">
      <alignment horizontal="center" vertical="center"/>
    </xf>
    <xf numFmtId="0" fontId="51" fillId="30" borderId="44" xfId="46" applyFont="1" applyFill="1" applyBorder="1" applyAlignment="1">
      <alignment horizontal="center" vertical="center"/>
    </xf>
    <xf numFmtId="0" fontId="51" fillId="30" borderId="86" xfId="46" applyFont="1" applyFill="1" applyBorder="1" applyAlignment="1">
      <alignment horizontal="center" vertical="center"/>
    </xf>
    <xf numFmtId="0" fontId="51" fillId="30" borderId="40" xfId="46" applyFont="1" applyFill="1" applyBorder="1" applyAlignment="1">
      <alignment horizontal="center" vertical="center"/>
    </xf>
    <xf numFmtId="0" fontId="51" fillId="30" borderId="0" xfId="46" applyFont="1" applyFill="1" applyBorder="1" applyAlignment="1">
      <alignment horizontal="center" vertical="center"/>
    </xf>
    <xf numFmtId="0" fontId="53" fillId="30" borderId="156" xfId="46" applyFont="1" applyFill="1" applyBorder="1" applyAlignment="1">
      <alignment horizontal="center" vertical="center"/>
    </xf>
    <xf numFmtId="0" fontId="53" fillId="30" borderId="100" xfId="46" applyFont="1" applyFill="1" applyBorder="1" applyAlignment="1">
      <alignment horizontal="center" vertical="center"/>
    </xf>
    <xf numFmtId="0" fontId="51" fillId="30" borderId="99" xfId="46" quotePrefix="1" applyFont="1" applyFill="1" applyBorder="1" applyAlignment="1">
      <alignment horizontal="center" vertical="center" wrapText="1"/>
    </xf>
    <xf numFmtId="0" fontId="51" fillId="30" borderId="46" xfId="46" quotePrefix="1" applyFont="1" applyFill="1" applyBorder="1" applyAlignment="1">
      <alignment horizontal="center" vertical="center" wrapText="1"/>
    </xf>
    <xf numFmtId="0" fontId="55" fillId="0" borderId="155" xfId="46" applyFont="1" applyFill="1" applyBorder="1" applyAlignment="1">
      <alignment horizontal="center" vertical="center"/>
    </xf>
    <xf numFmtId="0" fontId="55" fillId="0" borderId="55" xfId="46" applyFont="1" applyFill="1" applyBorder="1" applyAlignment="1">
      <alignment horizontal="center" vertical="center"/>
    </xf>
    <xf numFmtId="0" fontId="55" fillId="0" borderId="59" xfId="46" applyFont="1" applyFill="1" applyBorder="1" applyAlignment="1">
      <alignment horizontal="center" vertical="center"/>
    </xf>
    <xf numFmtId="0" fontId="5" fillId="24" borderId="157" xfId="0" applyFont="1" applyFill="1" applyBorder="1" applyAlignment="1">
      <alignment horizontal="center" vertical="center"/>
    </xf>
    <xf numFmtId="0" fontId="5" fillId="24" borderId="83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31" borderId="157" xfId="0" applyFont="1" applyFill="1" applyBorder="1" applyAlignment="1">
      <alignment horizontal="center" vertical="center"/>
    </xf>
    <xf numFmtId="0" fontId="5" fillId="31" borderId="83" xfId="0" applyFont="1" applyFill="1" applyBorder="1" applyAlignment="1">
      <alignment horizontal="center" vertical="center"/>
    </xf>
    <xf numFmtId="0" fontId="5" fillId="27" borderId="157" xfId="0" applyFont="1" applyFill="1" applyBorder="1" applyAlignment="1">
      <alignment horizontal="center" vertical="center"/>
    </xf>
    <xf numFmtId="0" fontId="5" fillId="27" borderId="83" xfId="0" applyFont="1" applyFill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</cellXfs>
  <cellStyles count="47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쉼표 [0] 2" xfId="34" xr:uid="{00000000-0005-0000-0000-000021000000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/>
    <cellStyle name="표준 2" xfId="45" xr:uid="{00000000-0005-0000-0000-00002D000000}"/>
    <cellStyle name="표준_2007년 2월 현대실적 - 기아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25</xdr:row>
          <xdr:rowOff>15240</xdr:rowOff>
        </xdr:from>
        <xdr:to>
          <xdr:col>9</xdr:col>
          <xdr:colOff>464820</xdr:colOff>
          <xdr:row>42</xdr:row>
          <xdr:rowOff>106680</xdr:rowOff>
        </xdr:to>
        <xdr:pic>
          <xdr:nvPicPr>
            <xdr:cNvPr id="17727" name="그림 4">
              <a:extLst>
                <a:ext uri="{FF2B5EF4-FFF2-40B4-BE49-F238E27FC236}">
                  <a16:creationId xmlns:a16="http://schemas.microsoft.com/office/drawing/2014/main" id="{4FDB064C-1696-40B2-9356-3119531555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⊙카메라!$A$18:$E$32" spid="_x0000_s178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5260" y="5730240"/>
              <a:ext cx="5425440" cy="32004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9</xdr:col>
          <xdr:colOff>472440</xdr:colOff>
          <xdr:row>24</xdr:row>
          <xdr:rowOff>106680</xdr:rowOff>
        </xdr:to>
        <xdr:pic>
          <xdr:nvPicPr>
            <xdr:cNvPr id="17728" name="그림 19">
              <a:extLst>
                <a:ext uri="{FF2B5EF4-FFF2-40B4-BE49-F238E27FC236}">
                  <a16:creationId xmlns:a16="http://schemas.microsoft.com/office/drawing/2014/main" id="{1F4A443B-891B-43E8-AF04-717C6B36029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⊙카메라!$A$2:$E$16" spid="_x0000_s1784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5260" y="2674620"/>
              <a:ext cx="5433060" cy="29641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1"/>
  <sheetViews>
    <sheetView showGridLines="0" tabSelected="1" zoomScale="90" zoomScaleNormal="90" zoomScaleSheetLayoutView="85" workbookViewId="0">
      <pane ySplit="5" topLeftCell="A27" activePane="bottomLeft" state="frozen"/>
      <selection activeCell="H85" sqref="H85"/>
      <selection pane="bottomLeft" activeCell="O10" sqref="O10"/>
    </sheetView>
  </sheetViews>
  <sheetFormatPr defaultColWidth="8.796875" defaultRowHeight="14.4" x14ac:dyDescent="0.25"/>
  <cols>
    <col min="1" max="1" width="2.296875" customWidth="1"/>
    <col min="2" max="2" width="4.296875" style="1" customWidth="1"/>
    <col min="3" max="3" width="3.5" style="2" customWidth="1"/>
    <col min="4" max="4" width="9.59765625" style="2" customWidth="1"/>
    <col min="5" max="5" width="9.8984375" style="2" customWidth="1"/>
    <col min="6" max="6" width="8.296875" style="2" customWidth="1"/>
    <col min="7" max="7" width="9.59765625" style="2" customWidth="1"/>
    <col min="8" max="8" width="8.3984375" style="2" customWidth="1"/>
    <col min="9" max="9" width="11.5" style="2" bestFit="1" customWidth="1"/>
    <col min="10" max="10" width="10.296875" style="2" bestFit="1" customWidth="1"/>
    <col min="11" max="11" width="8.5" style="2" customWidth="1"/>
    <col min="12" max="12" width="3.3984375" customWidth="1"/>
  </cols>
  <sheetData>
    <row r="2" spans="1:11" ht="17.399999999999999" x14ac:dyDescent="0.25">
      <c r="B2" s="381" t="s">
        <v>200</v>
      </c>
      <c r="C2" s="381"/>
      <c r="D2" s="381"/>
      <c r="E2" s="381"/>
      <c r="F2" s="381"/>
      <c r="G2" s="381"/>
      <c r="H2" s="381"/>
      <c r="I2" s="381"/>
      <c r="J2" s="381"/>
      <c r="K2" s="381"/>
    </row>
    <row r="3" spans="1:11" ht="15" thickBot="1" x14ac:dyDescent="0.3"/>
    <row r="4" spans="1:11" s="4" customFormat="1" ht="18.75" customHeight="1" x14ac:dyDescent="0.15">
      <c r="B4" s="377" t="s">
        <v>167</v>
      </c>
      <c r="C4" s="378"/>
      <c r="D4" s="121">
        <v>2022</v>
      </c>
      <c r="E4" s="3">
        <f>D4-1</f>
        <v>2021</v>
      </c>
      <c r="F4" s="382" t="s">
        <v>47</v>
      </c>
      <c r="G4" s="305">
        <v>2022</v>
      </c>
      <c r="H4" s="384" t="s">
        <v>48</v>
      </c>
      <c r="I4" s="283">
        <f>D4</f>
        <v>2022</v>
      </c>
      <c r="J4" s="3">
        <f>I4-1</f>
        <v>2021</v>
      </c>
      <c r="K4" s="382" t="s">
        <v>113</v>
      </c>
    </row>
    <row r="5" spans="1:11" ht="18.75" customHeight="1" thickBot="1" x14ac:dyDescent="0.3">
      <c r="B5" s="379"/>
      <c r="C5" s="380"/>
      <c r="D5" s="127">
        <v>6</v>
      </c>
      <c r="E5" s="5">
        <f>D5</f>
        <v>6</v>
      </c>
      <c r="F5" s="383"/>
      <c r="G5" s="306">
        <f>IF(D5=1,12,D5-1)</f>
        <v>5</v>
      </c>
      <c r="H5" s="385"/>
      <c r="I5" s="284">
        <f>D5</f>
        <v>6</v>
      </c>
      <c r="J5" s="120">
        <f>D5</f>
        <v>6</v>
      </c>
      <c r="K5" s="383"/>
    </row>
    <row r="6" spans="1:11" ht="37.5" customHeight="1" x14ac:dyDescent="0.25">
      <c r="B6" s="386" t="s">
        <v>49</v>
      </c>
      <c r="C6" s="387"/>
      <c r="D6" s="270">
        <v>59510</v>
      </c>
      <c r="E6" s="214">
        <v>68407</v>
      </c>
      <c r="F6" s="300">
        <f>(D6-E6)/E6</f>
        <v>-0.13005978920285935</v>
      </c>
      <c r="G6" s="298">
        <v>63373</v>
      </c>
      <c r="H6" s="215">
        <f>(D6-G6)/G6</f>
        <v>-6.0956558786865067E-2</v>
      </c>
      <c r="I6" s="270">
        <v>334396</v>
      </c>
      <c r="J6" s="214">
        <v>386095</v>
      </c>
      <c r="K6" s="300">
        <f>(I6-J6)/J6</f>
        <v>-0.13390227793677723</v>
      </c>
    </row>
    <row r="7" spans="1:11" ht="37.5" customHeight="1" thickBot="1" x14ac:dyDescent="0.3">
      <c r="B7" s="388" t="s">
        <v>119</v>
      </c>
      <c r="C7" s="389"/>
      <c r="D7" s="277">
        <v>281024</v>
      </c>
      <c r="E7" s="216">
        <v>288224</v>
      </c>
      <c r="F7" s="301">
        <f>(D7-E7)/E7</f>
        <v>-2.4980570667258797E-2</v>
      </c>
      <c r="G7" s="303">
        <v>260460</v>
      </c>
      <c r="H7" s="304">
        <f>(D7-G7)/G7</f>
        <v>7.8952622283652005E-2</v>
      </c>
      <c r="I7" s="277">
        <v>1542797</v>
      </c>
      <c r="J7" s="216">
        <v>1645090</v>
      </c>
      <c r="K7" s="301">
        <f>(I7-J7)/J7</f>
        <v>-6.2180792540225766E-2</v>
      </c>
    </row>
    <row r="8" spans="1:11" ht="37.5" customHeight="1" thickBot="1" x14ac:dyDescent="0.3">
      <c r="B8" s="375" t="s">
        <v>50</v>
      </c>
      <c r="C8" s="376"/>
      <c r="D8" s="144">
        <f>SUM(D6:D7)</f>
        <v>340534</v>
      </c>
      <c r="E8" s="145">
        <f>SUM(E6:E7)</f>
        <v>356631</v>
      </c>
      <c r="F8" s="146">
        <f>(D8-E8)/E8</f>
        <v>-4.5136289329867567E-2</v>
      </c>
      <c r="G8" s="299">
        <f>SUM(G6:G7)</f>
        <v>323833</v>
      </c>
      <c r="H8" s="147">
        <f>(D8-G8)/G8</f>
        <v>5.1572878613359352E-2</v>
      </c>
      <c r="I8" s="144">
        <f>SUM(I6:I7)</f>
        <v>1877193</v>
      </c>
      <c r="J8" s="145">
        <f>SUM(J6:J7)</f>
        <v>2031185</v>
      </c>
      <c r="K8" s="146">
        <f>(I8-J8)/J8</f>
        <v>-7.5813872197756482E-2</v>
      </c>
    </row>
    <row r="9" spans="1:11" ht="15" customHeight="1" x14ac:dyDescent="0.25">
      <c r="A9" s="199"/>
      <c r="B9" s="273"/>
      <c r="C9" s="273"/>
      <c r="D9" s="312"/>
      <c r="E9" s="274"/>
      <c r="F9" s="313"/>
      <c r="G9" s="274"/>
      <c r="H9" s="313"/>
      <c r="I9" s="312"/>
      <c r="J9" s="274"/>
      <c r="K9" s="313"/>
    </row>
    <row r="10" spans="1:11" ht="15" customHeight="1" x14ac:dyDescent="0.25">
      <c r="A10" s="199"/>
      <c r="B10" s="273"/>
      <c r="C10" s="273"/>
      <c r="D10" s="312"/>
      <c r="E10" s="274"/>
      <c r="F10" s="313"/>
      <c r="G10" s="274"/>
      <c r="H10" s="313"/>
      <c r="I10" s="312"/>
      <c r="J10" s="274"/>
      <c r="K10" s="313"/>
    </row>
    <row r="11" spans="1:11" ht="15" customHeight="1" x14ac:dyDescent="0.25">
      <c r="A11" s="199"/>
      <c r="B11" s="273"/>
      <c r="C11" s="273"/>
      <c r="D11" s="312"/>
      <c r="E11" s="274"/>
      <c r="F11" s="313"/>
      <c r="G11" s="274"/>
      <c r="H11" s="313"/>
      <c r="I11" s="312"/>
      <c r="J11" s="274"/>
      <c r="K11" s="313"/>
    </row>
    <row r="12" spans="1:11" ht="15" customHeight="1" x14ac:dyDescent="0.25">
      <c r="A12" s="199"/>
      <c r="B12" s="273"/>
      <c r="C12" s="273"/>
      <c r="D12" s="312"/>
      <c r="E12" s="274"/>
      <c r="F12" s="313"/>
      <c r="G12" s="274"/>
      <c r="H12" s="313"/>
      <c r="I12" s="312"/>
      <c r="J12" s="274"/>
      <c r="K12" s="313"/>
    </row>
    <row r="13" spans="1:11" ht="15" customHeight="1" x14ac:dyDescent="0.25">
      <c r="A13" s="199"/>
      <c r="B13" s="273"/>
      <c r="C13" s="273"/>
      <c r="D13" s="312"/>
      <c r="E13" s="274"/>
      <c r="F13" s="313"/>
      <c r="G13" s="274"/>
      <c r="H13" s="313"/>
      <c r="I13" s="312"/>
      <c r="J13" s="274"/>
      <c r="K13" s="313"/>
    </row>
    <row r="14" spans="1:11" ht="15" customHeight="1" x14ac:dyDescent="0.25">
      <c r="A14" s="199"/>
      <c r="B14" s="273"/>
      <c r="C14" s="273"/>
      <c r="D14" s="312"/>
      <c r="E14" s="274"/>
      <c r="F14" s="313"/>
      <c r="G14" s="274"/>
      <c r="H14" s="313"/>
      <c r="I14" s="312"/>
      <c r="J14" s="274"/>
      <c r="K14" s="313"/>
    </row>
    <row r="15" spans="1:11" ht="15" customHeight="1" x14ac:dyDescent="0.25">
      <c r="A15" s="199"/>
      <c r="B15" s="273"/>
      <c r="C15" s="273"/>
      <c r="D15" s="312"/>
      <c r="E15" s="274"/>
      <c r="F15" s="313"/>
      <c r="G15" s="274"/>
      <c r="H15" s="313"/>
      <c r="I15" s="312"/>
      <c r="J15" s="274"/>
      <c r="K15" s="313"/>
    </row>
    <row r="16" spans="1:11" ht="15" customHeight="1" x14ac:dyDescent="0.25">
      <c r="A16" s="199"/>
      <c r="B16" s="273"/>
      <c r="C16" s="273"/>
      <c r="D16" s="312"/>
      <c r="E16" s="274"/>
      <c r="F16" s="313"/>
      <c r="G16" s="274"/>
      <c r="H16" s="313"/>
      <c r="I16" s="312"/>
      <c r="J16" s="274"/>
      <c r="K16" s="313"/>
    </row>
    <row r="17" spans="1:11" ht="15" customHeight="1" x14ac:dyDescent="0.25">
      <c r="A17" s="199"/>
      <c r="B17" s="273"/>
      <c r="C17" s="273"/>
      <c r="D17" s="312"/>
      <c r="E17" s="274"/>
      <c r="F17" s="313"/>
      <c r="G17" s="274"/>
      <c r="H17" s="313"/>
      <c r="I17" s="312"/>
      <c r="J17" s="274"/>
      <c r="K17" s="313"/>
    </row>
    <row r="18" spans="1:11" ht="15" customHeight="1" x14ac:dyDescent="0.25">
      <c r="A18" s="199"/>
      <c r="B18" s="273"/>
      <c r="C18" s="273"/>
      <c r="D18" s="312"/>
      <c r="E18" s="274"/>
      <c r="F18" s="313"/>
      <c r="G18" s="274"/>
      <c r="H18" s="313"/>
      <c r="I18" s="312"/>
      <c r="J18" s="274"/>
      <c r="K18" s="313"/>
    </row>
    <row r="19" spans="1:11" ht="15" customHeight="1" x14ac:dyDescent="0.25">
      <c r="A19" s="199"/>
      <c r="B19" s="273"/>
      <c r="C19" s="273"/>
      <c r="D19" s="312"/>
      <c r="E19" s="274"/>
      <c r="F19" s="313"/>
      <c r="G19" s="274"/>
      <c r="H19" s="313"/>
      <c r="I19" s="312"/>
      <c r="J19" s="274"/>
      <c r="K19" s="313"/>
    </row>
    <row r="20" spans="1:11" ht="15" customHeight="1" x14ac:dyDescent="0.25">
      <c r="A20" s="199"/>
      <c r="B20" s="273"/>
      <c r="C20" s="273"/>
      <c r="D20" s="312"/>
      <c r="E20" s="274"/>
      <c r="F20" s="313"/>
      <c r="G20" s="274"/>
      <c r="H20" s="313"/>
      <c r="I20" s="312"/>
      <c r="J20" s="274"/>
      <c r="K20" s="313"/>
    </row>
    <row r="21" spans="1:11" ht="15" customHeight="1" x14ac:dyDescent="0.25">
      <c r="A21" s="199"/>
      <c r="B21" s="273"/>
      <c r="C21" s="273"/>
      <c r="D21" s="312"/>
      <c r="E21" s="274"/>
      <c r="F21" s="313"/>
      <c r="G21" s="274"/>
      <c r="H21" s="313"/>
      <c r="I21" s="312"/>
      <c r="J21" s="274"/>
      <c r="K21" s="313"/>
    </row>
    <row r="22" spans="1:11" ht="15" customHeight="1" x14ac:dyDescent="0.25">
      <c r="A22" s="199"/>
      <c r="B22" s="273"/>
      <c r="C22" s="273"/>
      <c r="D22" s="312"/>
      <c r="E22" s="274"/>
      <c r="F22" s="313"/>
      <c r="G22" s="274"/>
      <c r="H22" s="313"/>
      <c r="I22" s="312"/>
      <c r="J22" s="274"/>
      <c r="K22" s="313"/>
    </row>
    <row r="23" spans="1:11" ht="15" customHeight="1" x14ac:dyDescent="0.25">
      <c r="A23" s="199"/>
      <c r="B23" s="273"/>
      <c r="C23" s="273"/>
      <c r="D23" s="312"/>
      <c r="E23" s="274"/>
      <c r="F23" s="313"/>
      <c r="G23" s="274"/>
      <c r="H23" s="313"/>
      <c r="I23" s="312"/>
      <c r="J23" s="274"/>
      <c r="K23" s="313"/>
    </row>
    <row r="24" spans="1:11" ht="15" customHeight="1" x14ac:dyDescent="0.25">
      <c r="A24" s="199"/>
      <c r="B24" s="273"/>
      <c r="C24" s="273"/>
      <c r="D24" s="312"/>
      <c r="E24" s="274"/>
      <c r="F24" s="313"/>
      <c r="G24" s="274"/>
      <c r="H24" s="313"/>
      <c r="I24" s="312"/>
      <c r="J24" s="274"/>
      <c r="K24" s="313"/>
    </row>
    <row r="25" spans="1:11" x14ac:dyDescent="0.25">
      <c r="J25" s="119"/>
    </row>
    <row r="26" spans="1:11" x14ac:dyDescent="0.25">
      <c r="J26" s="119"/>
    </row>
    <row r="27" spans="1:11" x14ac:dyDescent="0.25">
      <c r="J27" s="119"/>
    </row>
    <row r="28" spans="1:11" x14ac:dyDescent="0.25">
      <c r="J28" s="119"/>
    </row>
    <row r="29" spans="1:11" x14ac:dyDescent="0.25">
      <c r="J29" s="119"/>
    </row>
    <row r="30" spans="1:11" x14ac:dyDescent="0.25">
      <c r="J30" s="119"/>
    </row>
    <row r="31" spans="1:11" x14ac:dyDescent="0.25">
      <c r="J31" s="119"/>
    </row>
    <row r="32" spans="1:11" x14ac:dyDescent="0.25">
      <c r="J32" s="119"/>
    </row>
    <row r="33" spans="10:10" x14ac:dyDescent="0.25">
      <c r="J33" s="119"/>
    </row>
    <row r="34" spans="10:10" x14ac:dyDescent="0.25">
      <c r="J34" s="119"/>
    </row>
    <row r="35" spans="10:10" x14ac:dyDescent="0.25">
      <c r="J35" s="119"/>
    </row>
    <row r="36" spans="10:10" x14ac:dyDescent="0.25">
      <c r="J36" s="119"/>
    </row>
    <row r="37" spans="10:10" x14ac:dyDescent="0.25">
      <c r="J37" s="119"/>
    </row>
    <row r="38" spans="10:10" x14ac:dyDescent="0.25">
      <c r="J38" s="119"/>
    </row>
    <row r="39" spans="10:10" x14ac:dyDescent="0.25">
      <c r="J39" s="119"/>
    </row>
    <row r="40" spans="10:10" x14ac:dyDescent="0.25">
      <c r="J40" s="119"/>
    </row>
    <row r="41" spans="10:10" x14ac:dyDescent="0.25">
      <c r="J41" s="119"/>
    </row>
    <row r="42" spans="10:10" x14ac:dyDescent="0.25">
      <c r="J42" s="119"/>
    </row>
    <row r="43" spans="10:10" x14ac:dyDescent="0.25">
      <c r="J43" s="119"/>
    </row>
    <row r="44" spans="10:10" x14ac:dyDescent="0.25">
      <c r="J44" s="119"/>
    </row>
    <row r="45" spans="10:10" x14ac:dyDescent="0.25">
      <c r="J45" s="119"/>
    </row>
    <row r="46" spans="10:10" x14ac:dyDescent="0.25">
      <c r="J46" s="119"/>
    </row>
    <row r="47" spans="10:10" x14ac:dyDescent="0.25">
      <c r="J47" s="119"/>
    </row>
    <row r="48" spans="10:10" x14ac:dyDescent="0.25">
      <c r="J48" s="119"/>
    </row>
    <row r="49" spans="5:10" x14ac:dyDescent="0.25">
      <c r="J49" s="119"/>
    </row>
    <row r="50" spans="5:10" x14ac:dyDescent="0.25">
      <c r="J50" s="119"/>
    </row>
    <row r="51" spans="5:10" x14ac:dyDescent="0.25">
      <c r="J51" s="119"/>
    </row>
    <row r="52" spans="5:10" x14ac:dyDescent="0.25">
      <c r="J52" s="119"/>
    </row>
    <row r="53" spans="5:10" x14ac:dyDescent="0.25">
      <c r="J53" s="119"/>
    </row>
    <row r="54" spans="5:10" x14ac:dyDescent="0.25">
      <c r="J54" s="119"/>
    </row>
    <row r="55" spans="5:10" x14ac:dyDescent="0.25">
      <c r="J55" s="119"/>
    </row>
    <row r="56" spans="5:10" x14ac:dyDescent="0.25">
      <c r="J56" s="119"/>
    </row>
    <row r="57" spans="5:10" x14ac:dyDescent="0.25">
      <c r="J57" s="119"/>
    </row>
    <row r="58" spans="5:10" x14ac:dyDescent="0.25">
      <c r="J58" s="119"/>
    </row>
    <row r="59" spans="5:10" x14ac:dyDescent="0.25">
      <c r="J59" s="119"/>
    </row>
    <row r="60" spans="5:10" x14ac:dyDescent="0.25">
      <c r="J60" s="119"/>
    </row>
    <row r="61" spans="5:10" x14ac:dyDescent="0.25">
      <c r="J61" s="119"/>
    </row>
    <row r="62" spans="5:10" x14ac:dyDescent="0.25">
      <c r="E62" s="122"/>
      <c r="J62" s="119"/>
    </row>
    <row r="63" spans="5:10" x14ac:dyDescent="0.25">
      <c r="E63" s="122"/>
      <c r="J63" s="119"/>
    </row>
    <row r="64" spans="5:10" x14ac:dyDescent="0.25">
      <c r="J64" s="119"/>
    </row>
    <row r="71" spans="10:10" x14ac:dyDescent="0.25">
      <c r="J71" s="123"/>
    </row>
  </sheetData>
  <mergeCells count="8">
    <mergeCell ref="B8:C8"/>
    <mergeCell ref="B4:C5"/>
    <mergeCell ref="B2:K2"/>
    <mergeCell ref="F4:F5"/>
    <mergeCell ref="H4:H5"/>
    <mergeCell ref="K4:K5"/>
    <mergeCell ref="B6:C6"/>
    <mergeCell ref="B7:C7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H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R463"/>
  <sheetViews>
    <sheetView showGridLines="0" topLeftCell="B1" zoomScaleNormal="100" zoomScaleSheetLayoutView="115" workbookViewId="0">
      <selection activeCell="O10" sqref="O10"/>
    </sheetView>
  </sheetViews>
  <sheetFormatPr defaultRowHeight="14.4" x14ac:dyDescent="0.25"/>
  <cols>
    <col min="1" max="1" width="0.59765625" style="20" customWidth="1"/>
    <col min="2" max="2" width="2.3984375" style="20" customWidth="1"/>
    <col min="3" max="3" width="7.796875" style="20" customWidth="1"/>
    <col min="4" max="15" width="6.59765625" style="19" customWidth="1"/>
    <col min="16" max="16" width="7.796875" style="20" customWidth="1"/>
    <col min="17" max="17" width="7.8984375" style="116" customWidth="1"/>
    <col min="18" max="18" width="9.09765625" customWidth="1"/>
  </cols>
  <sheetData>
    <row r="1" spans="1:17" s="16" customFormat="1" ht="13.2" x14ac:dyDescent="0.25">
      <c r="B1" s="16" t="s">
        <v>191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Q1" s="115"/>
    </row>
    <row r="2" spans="1:17" s="16" customFormat="1" ht="13.2" x14ac:dyDescent="0.2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Q2" s="115"/>
    </row>
    <row r="3" spans="1:17" ht="15" thickBot="1" x14ac:dyDescent="0.3">
      <c r="B3" s="18" t="s">
        <v>192</v>
      </c>
      <c r="C3" s="18"/>
    </row>
    <row r="4" spans="1:17" ht="12.75" customHeight="1" thickBot="1" x14ac:dyDescent="0.3">
      <c r="B4" s="390" t="s">
        <v>1</v>
      </c>
      <c r="C4" s="391"/>
      <c r="D4" s="21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 t="s">
        <v>78</v>
      </c>
      <c r="M4" s="22">
        <v>10</v>
      </c>
      <c r="N4" s="22">
        <v>11</v>
      </c>
      <c r="O4" s="22">
        <v>12</v>
      </c>
      <c r="P4" s="23" t="s">
        <v>0</v>
      </c>
    </row>
    <row r="5" spans="1:17" ht="12.75" customHeight="1" x14ac:dyDescent="0.25">
      <c r="B5" s="392" t="s">
        <v>46</v>
      </c>
      <c r="C5" s="178" t="s">
        <v>22</v>
      </c>
      <c r="D5" s="78">
        <v>21</v>
      </c>
      <c r="E5" s="79">
        <v>26</v>
      </c>
      <c r="F5" s="78">
        <v>30</v>
      </c>
      <c r="G5" s="79">
        <v>22</v>
      </c>
      <c r="H5" s="79">
        <v>34</v>
      </c>
      <c r="I5" s="79">
        <v>29</v>
      </c>
      <c r="J5" s="79"/>
      <c r="K5" s="79"/>
      <c r="L5" s="81"/>
      <c r="M5" s="79"/>
      <c r="N5" s="79"/>
      <c r="O5" s="79"/>
      <c r="P5" s="80">
        <f t="shared" ref="P5:P12" si="0">SUM(D5:O5)</f>
        <v>162</v>
      </c>
      <c r="Q5"/>
    </row>
    <row r="6" spans="1:17" ht="12.75" customHeight="1" x14ac:dyDescent="0.25">
      <c r="B6" s="393"/>
      <c r="C6" s="178" t="s">
        <v>24</v>
      </c>
      <c r="D6" s="78">
        <v>5437</v>
      </c>
      <c r="E6" s="78">
        <v>3697</v>
      </c>
      <c r="F6" s="78">
        <v>3892</v>
      </c>
      <c r="G6" s="78">
        <v>6382</v>
      </c>
      <c r="H6" s="78">
        <v>4918</v>
      </c>
      <c r="I6" s="78">
        <v>3310</v>
      </c>
      <c r="J6" s="78"/>
      <c r="K6" s="78"/>
      <c r="L6" s="78"/>
      <c r="M6" s="78"/>
      <c r="N6" s="78"/>
      <c r="O6" s="78"/>
      <c r="P6" s="80">
        <f t="shared" si="0"/>
        <v>27636</v>
      </c>
      <c r="Q6"/>
    </row>
    <row r="7" spans="1:17" ht="12.75" customHeight="1" x14ac:dyDescent="0.25">
      <c r="B7" s="393"/>
      <c r="C7" s="178" t="s">
        <v>69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/>
      <c r="K7" s="78"/>
      <c r="L7" s="78"/>
      <c r="M7" s="78"/>
      <c r="N7" s="78"/>
      <c r="O7" s="78"/>
      <c r="P7" s="80">
        <f t="shared" si="0"/>
        <v>0</v>
      </c>
      <c r="Q7"/>
    </row>
    <row r="8" spans="1:17" ht="12.75" customHeight="1" x14ac:dyDescent="0.25">
      <c r="B8" s="393"/>
      <c r="C8" s="178" t="s">
        <v>3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/>
      <c r="K8" s="78"/>
      <c r="L8" s="78"/>
      <c r="M8" s="78"/>
      <c r="N8" s="78"/>
      <c r="O8" s="78"/>
      <c r="P8" s="80">
        <f t="shared" si="0"/>
        <v>0</v>
      </c>
      <c r="Q8"/>
    </row>
    <row r="9" spans="1:17" ht="12.75" customHeight="1" x14ac:dyDescent="0.25">
      <c r="B9" s="393"/>
      <c r="C9" s="180" t="s">
        <v>25</v>
      </c>
      <c r="D9" s="76">
        <v>2036</v>
      </c>
      <c r="E9" s="76">
        <v>4176</v>
      </c>
      <c r="F9" s="76">
        <v>4317</v>
      </c>
      <c r="G9" s="76">
        <v>4165</v>
      </c>
      <c r="H9" s="76">
        <v>3990</v>
      </c>
      <c r="I9" s="76">
        <v>4717</v>
      </c>
      <c r="J9" s="76"/>
      <c r="K9" s="76"/>
      <c r="L9" s="76"/>
      <c r="M9" s="76"/>
      <c r="N9" s="76"/>
      <c r="O9" s="76"/>
      <c r="P9" s="80">
        <f t="shared" si="0"/>
        <v>23401</v>
      </c>
      <c r="Q9"/>
    </row>
    <row r="10" spans="1:17" ht="12.75" customHeight="1" x14ac:dyDescent="0.25">
      <c r="B10" s="393"/>
      <c r="C10" s="181" t="s">
        <v>27</v>
      </c>
      <c r="D10" s="74">
        <v>1806</v>
      </c>
      <c r="E10" s="74">
        <v>4490</v>
      </c>
      <c r="F10" s="74">
        <v>6663</v>
      </c>
      <c r="G10" s="74">
        <v>5192</v>
      </c>
      <c r="H10" s="74">
        <v>7602</v>
      </c>
      <c r="I10" s="74">
        <v>7919</v>
      </c>
      <c r="J10" s="74"/>
      <c r="K10" s="74"/>
      <c r="L10" s="74"/>
      <c r="M10" s="74"/>
      <c r="N10" s="74"/>
      <c r="O10" s="74"/>
      <c r="P10" s="80">
        <f t="shared" si="0"/>
        <v>33672</v>
      </c>
      <c r="Q10"/>
    </row>
    <row r="11" spans="1:17" ht="12.75" customHeight="1" thickBot="1" x14ac:dyDescent="0.3">
      <c r="B11" s="394"/>
      <c r="C11" s="183" t="s">
        <v>0</v>
      </c>
      <c r="D11" s="43">
        <f>SUM(D5:D10)</f>
        <v>9300</v>
      </c>
      <c r="E11" s="43">
        <f>SUM(E5:E10)</f>
        <v>12389</v>
      </c>
      <c r="F11" s="43">
        <f t="shared" ref="F11:O11" si="1">SUM(F5:F10)</f>
        <v>14902</v>
      </c>
      <c r="G11" s="43">
        <f t="shared" si="1"/>
        <v>15761</v>
      </c>
      <c r="H11" s="43">
        <f t="shared" si="1"/>
        <v>16544</v>
      </c>
      <c r="I11" s="43">
        <f t="shared" si="1"/>
        <v>15975</v>
      </c>
      <c r="J11" s="43">
        <f t="shared" si="1"/>
        <v>0</v>
      </c>
      <c r="K11" s="43">
        <f t="shared" si="1"/>
        <v>0</v>
      </c>
      <c r="L11" s="43">
        <f t="shared" si="1"/>
        <v>0</v>
      </c>
      <c r="M11" s="43">
        <f t="shared" si="1"/>
        <v>0</v>
      </c>
      <c r="N11" s="43">
        <f t="shared" si="1"/>
        <v>0</v>
      </c>
      <c r="O11" s="43">
        <f t="shared" si="1"/>
        <v>0</v>
      </c>
      <c r="P11" s="44">
        <f t="shared" si="0"/>
        <v>84871</v>
      </c>
      <c r="Q11"/>
    </row>
    <row r="12" spans="1:17" ht="12.75" customHeight="1" x14ac:dyDescent="0.25">
      <c r="B12" s="395" t="s">
        <v>45</v>
      </c>
      <c r="C12" s="177" t="s">
        <v>184</v>
      </c>
      <c r="D12" s="39">
        <v>3948</v>
      </c>
      <c r="E12" s="40">
        <v>3304</v>
      </c>
      <c r="F12" s="40">
        <v>3725</v>
      </c>
      <c r="G12" s="40">
        <v>3420</v>
      </c>
      <c r="H12" s="40">
        <v>4402</v>
      </c>
      <c r="I12" s="40">
        <v>4401</v>
      </c>
      <c r="J12" s="40"/>
      <c r="K12" s="40"/>
      <c r="L12" s="40"/>
      <c r="M12" s="40"/>
      <c r="N12" s="40"/>
      <c r="O12" s="40"/>
      <c r="P12" s="31">
        <f t="shared" si="0"/>
        <v>23200</v>
      </c>
      <c r="Q12"/>
    </row>
    <row r="13" spans="1:17" ht="12.75" customHeight="1" x14ac:dyDescent="0.25">
      <c r="B13" s="396"/>
      <c r="C13" s="179" t="s">
        <v>138</v>
      </c>
      <c r="D13" s="29">
        <v>925</v>
      </c>
      <c r="E13" s="30">
        <v>615</v>
      </c>
      <c r="F13" s="30">
        <v>673</v>
      </c>
      <c r="G13" s="30">
        <v>790</v>
      </c>
      <c r="H13" s="30">
        <v>776</v>
      </c>
      <c r="I13" s="30">
        <v>896</v>
      </c>
      <c r="J13" s="30"/>
      <c r="K13" s="30"/>
      <c r="L13" s="30"/>
      <c r="M13" s="30"/>
      <c r="N13" s="30"/>
      <c r="O13" s="30"/>
      <c r="P13" s="31">
        <f t="shared" ref="P13:P19" si="2">SUM(D13:O13)</f>
        <v>4675</v>
      </c>
      <c r="Q13"/>
    </row>
    <row r="14" spans="1:17" ht="12.75" customHeight="1" x14ac:dyDescent="0.25">
      <c r="B14" s="396"/>
      <c r="C14" s="184" t="s">
        <v>114</v>
      </c>
      <c r="D14" s="25">
        <v>479</v>
      </c>
      <c r="E14" s="26">
        <v>923</v>
      </c>
      <c r="F14" s="26">
        <v>759</v>
      </c>
      <c r="G14" s="26">
        <v>773</v>
      </c>
      <c r="H14" s="26">
        <v>759</v>
      </c>
      <c r="I14" s="26">
        <v>758</v>
      </c>
      <c r="J14" s="26"/>
      <c r="K14" s="26"/>
      <c r="L14" s="26"/>
      <c r="M14" s="26"/>
      <c r="N14" s="26"/>
      <c r="O14" s="26"/>
      <c r="P14" s="31">
        <f t="shared" si="2"/>
        <v>4451</v>
      </c>
      <c r="Q14"/>
    </row>
    <row r="15" spans="1:17" ht="12.75" customHeight="1" x14ac:dyDescent="0.25">
      <c r="A15"/>
      <c r="B15" s="396"/>
      <c r="C15" s="184" t="s">
        <v>60</v>
      </c>
      <c r="D15" s="25">
        <v>3619</v>
      </c>
      <c r="E15" s="26">
        <v>2684</v>
      </c>
      <c r="F15" s="26">
        <v>2740</v>
      </c>
      <c r="G15" s="26">
        <v>4175</v>
      </c>
      <c r="H15" s="26">
        <v>3722</v>
      </c>
      <c r="I15" s="26">
        <v>2864</v>
      </c>
      <c r="J15" s="26"/>
      <c r="K15" s="26"/>
      <c r="L15" s="26"/>
      <c r="M15" s="26"/>
      <c r="N15" s="26"/>
      <c r="O15" s="26"/>
      <c r="P15" s="31">
        <f t="shared" si="2"/>
        <v>19804</v>
      </c>
      <c r="Q15"/>
    </row>
    <row r="16" spans="1:17" ht="12.75" customHeight="1" x14ac:dyDescent="0.25">
      <c r="A16"/>
      <c r="B16" s="396"/>
      <c r="C16" s="184" t="s">
        <v>171</v>
      </c>
      <c r="D16" s="25">
        <v>376</v>
      </c>
      <c r="E16" s="26">
        <v>3995</v>
      </c>
      <c r="F16" s="26">
        <v>3208</v>
      </c>
      <c r="G16" s="26">
        <v>2963</v>
      </c>
      <c r="H16" s="26">
        <v>3054</v>
      </c>
      <c r="I16" s="26">
        <v>1507</v>
      </c>
      <c r="J16" s="26"/>
      <c r="K16" s="26"/>
      <c r="L16" s="26"/>
      <c r="M16" s="26"/>
      <c r="N16" s="26"/>
      <c r="O16" s="26"/>
      <c r="P16" s="31">
        <f t="shared" si="2"/>
        <v>15103</v>
      </c>
      <c r="Q16"/>
    </row>
    <row r="17" spans="1:17" ht="12.75" customHeight="1" x14ac:dyDescent="0.25">
      <c r="A17"/>
      <c r="B17" s="396"/>
      <c r="C17" s="184" t="s">
        <v>125</v>
      </c>
      <c r="D17" s="25">
        <v>319</v>
      </c>
      <c r="E17" s="26">
        <v>650</v>
      </c>
      <c r="F17" s="26">
        <v>445</v>
      </c>
      <c r="G17" s="26">
        <v>1294</v>
      </c>
      <c r="H17" s="26">
        <v>1270</v>
      </c>
      <c r="I17" s="26">
        <v>907</v>
      </c>
      <c r="J17" s="26"/>
      <c r="K17" s="26"/>
      <c r="L17" s="26"/>
      <c r="M17" s="26"/>
      <c r="N17" s="26"/>
      <c r="O17" s="26"/>
      <c r="P17" s="31">
        <f t="shared" si="2"/>
        <v>4885</v>
      </c>
      <c r="Q17"/>
    </row>
    <row r="18" spans="1:17" ht="12.75" customHeight="1" x14ac:dyDescent="0.25">
      <c r="A18"/>
      <c r="B18" s="396"/>
      <c r="C18" s="179" t="s">
        <v>8</v>
      </c>
      <c r="D18" s="29">
        <v>2159</v>
      </c>
      <c r="E18" s="30">
        <v>1680</v>
      </c>
      <c r="F18" s="30">
        <v>1860</v>
      </c>
      <c r="G18" s="30">
        <v>1997</v>
      </c>
      <c r="H18" s="30">
        <v>2477</v>
      </c>
      <c r="I18" s="30">
        <v>2913</v>
      </c>
      <c r="J18" s="30"/>
      <c r="K18" s="30"/>
      <c r="L18" s="30"/>
      <c r="M18" s="30"/>
      <c r="N18" s="30"/>
      <c r="O18" s="30"/>
      <c r="P18" s="31">
        <f t="shared" si="2"/>
        <v>13086</v>
      </c>
      <c r="Q18"/>
    </row>
    <row r="19" spans="1:17" ht="12.75" customHeight="1" x14ac:dyDescent="0.25">
      <c r="A19"/>
      <c r="B19" s="396"/>
      <c r="C19" s="179" t="s">
        <v>134</v>
      </c>
      <c r="D19" s="29">
        <v>4302</v>
      </c>
      <c r="E19" s="30">
        <v>3900</v>
      </c>
      <c r="F19" s="30">
        <v>4501</v>
      </c>
      <c r="G19" s="30">
        <v>4461</v>
      </c>
      <c r="H19" s="30">
        <v>4110</v>
      </c>
      <c r="I19" s="30">
        <v>5760</v>
      </c>
      <c r="J19" s="30"/>
      <c r="K19" s="30"/>
      <c r="L19" s="30"/>
      <c r="M19" s="30"/>
      <c r="N19" s="30"/>
      <c r="O19" s="30"/>
      <c r="P19" s="31">
        <f t="shared" si="2"/>
        <v>27034</v>
      </c>
      <c r="Q19"/>
    </row>
    <row r="20" spans="1:17" ht="12.75" customHeight="1" thickBot="1" x14ac:dyDescent="0.3">
      <c r="A20"/>
      <c r="B20" s="397"/>
      <c r="C20" s="185" t="s">
        <v>0</v>
      </c>
      <c r="D20" s="36">
        <f>SUM(D12:D19)</f>
        <v>16127</v>
      </c>
      <c r="E20" s="36">
        <f t="shared" ref="E20:O20" si="3">SUM(E12:E19)</f>
        <v>17751</v>
      </c>
      <c r="F20" s="36">
        <f t="shared" si="3"/>
        <v>17911</v>
      </c>
      <c r="G20" s="36">
        <f t="shared" si="3"/>
        <v>19873</v>
      </c>
      <c r="H20" s="36">
        <f t="shared" si="3"/>
        <v>20570</v>
      </c>
      <c r="I20" s="36">
        <f t="shared" si="3"/>
        <v>20006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 t="shared" si="3"/>
        <v>0</v>
      </c>
      <c r="O20" s="36">
        <f t="shared" si="3"/>
        <v>0</v>
      </c>
      <c r="P20" s="37">
        <f t="shared" ref="P20:P34" si="4">SUM(D20:O20)</f>
        <v>112238</v>
      </c>
      <c r="Q20"/>
    </row>
    <row r="21" spans="1:17" ht="12.6" customHeight="1" x14ac:dyDescent="0.25">
      <c r="A21"/>
      <c r="B21" s="392" t="s">
        <v>9</v>
      </c>
      <c r="C21" s="177" t="s">
        <v>11</v>
      </c>
      <c r="D21" s="39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/>
      <c r="K21" s="40"/>
      <c r="L21" s="40"/>
      <c r="M21" s="40"/>
      <c r="N21" s="40"/>
      <c r="O21" s="40"/>
      <c r="P21" s="41">
        <f t="shared" si="4"/>
        <v>0</v>
      </c>
      <c r="Q21"/>
    </row>
    <row r="22" spans="1:17" ht="12.6" customHeight="1" x14ac:dyDescent="0.25">
      <c r="A22"/>
      <c r="B22" s="393"/>
      <c r="C22" s="184" t="s">
        <v>172</v>
      </c>
      <c r="D22" s="25">
        <v>2810</v>
      </c>
      <c r="E22" s="26">
        <v>2057</v>
      </c>
      <c r="F22" s="26">
        <v>2096</v>
      </c>
      <c r="G22" s="26">
        <v>2387</v>
      </c>
      <c r="H22" s="26">
        <v>2914</v>
      </c>
      <c r="I22" s="26">
        <v>2451</v>
      </c>
      <c r="J22" s="26"/>
      <c r="K22" s="26"/>
      <c r="L22" s="26"/>
      <c r="M22" s="26"/>
      <c r="N22" s="26"/>
      <c r="O22" s="26"/>
      <c r="P22" s="27">
        <f t="shared" si="4"/>
        <v>14715</v>
      </c>
      <c r="Q22"/>
    </row>
    <row r="23" spans="1:17" ht="12.75" customHeight="1" x14ac:dyDescent="0.25">
      <c r="A23"/>
      <c r="B23" s="393"/>
      <c r="C23" s="184" t="s">
        <v>12</v>
      </c>
      <c r="D23" s="25">
        <v>5443</v>
      </c>
      <c r="E23" s="26">
        <v>7995</v>
      </c>
      <c r="F23" s="26">
        <v>4708</v>
      </c>
      <c r="G23" s="26">
        <v>8423</v>
      </c>
      <c r="H23" s="26">
        <v>8299</v>
      </c>
      <c r="I23" s="26">
        <v>6980</v>
      </c>
      <c r="J23" s="26"/>
      <c r="K23" s="26"/>
      <c r="L23" s="26"/>
      <c r="M23" s="26"/>
      <c r="N23" s="26"/>
      <c r="O23" s="26"/>
      <c r="P23" s="27">
        <f t="shared" si="4"/>
        <v>41848</v>
      </c>
      <c r="Q23"/>
    </row>
    <row r="24" spans="1:17" ht="12.75" customHeight="1" thickBot="1" x14ac:dyDescent="0.3">
      <c r="A24"/>
      <c r="B24" s="394"/>
      <c r="C24" s="183" t="s">
        <v>0</v>
      </c>
      <c r="D24" s="43">
        <f>SUM(D21:D23)</f>
        <v>8253</v>
      </c>
      <c r="E24" s="43">
        <f t="shared" ref="E24:O24" si="5">SUM(E21:E23)</f>
        <v>10052</v>
      </c>
      <c r="F24" s="43">
        <f t="shared" si="5"/>
        <v>6804</v>
      </c>
      <c r="G24" s="43">
        <f t="shared" si="5"/>
        <v>10810</v>
      </c>
      <c r="H24" s="43">
        <f t="shared" si="5"/>
        <v>11213</v>
      </c>
      <c r="I24" s="43">
        <f t="shared" si="5"/>
        <v>9431</v>
      </c>
      <c r="J24" s="43">
        <f t="shared" si="5"/>
        <v>0</v>
      </c>
      <c r="K24" s="43">
        <f t="shared" si="5"/>
        <v>0</v>
      </c>
      <c r="L24" s="43">
        <f t="shared" si="5"/>
        <v>0</v>
      </c>
      <c r="M24" s="43">
        <f t="shared" si="5"/>
        <v>0</v>
      </c>
      <c r="N24" s="43">
        <f t="shared" si="5"/>
        <v>0</v>
      </c>
      <c r="O24" s="43">
        <f t="shared" si="5"/>
        <v>0</v>
      </c>
      <c r="P24" s="44">
        <f t="shared" si="4"/>
        <v>56563</v>
      </c>
      <c r="Q24"/>
    </row>
    <row r="25" spans="1:17" ht="12.75" customHeight="1" x14ac:dyDescent="0.25">
      <c r="A25"/>
      <c r="B25" s="392" t="s">
        <v>10</v>
      </c>
      <c r="C25" s="177" t="s">
        <v>13</v>
      </c>
      <c r="D25" s="39">
        <v>388</v>
      </c>
      <c r="E25" s="40">
        <v>458</v>
      </c>
      <c r="F25" s="40">
        <v>529</v>
      </c>
      <c r="G25" s="40">
        <v>473</v>
      </c>
      <c r="H25" s="40">
        <v>529</v>
      </c>
      <c r="I25" s="40">
        <v>560</v>
      </c>
      <c r="J25" s="40"/>
      <c r="K25" s="40"/>
      <c r="L25" s="40"/>
      <c r="M25" s="40"/>
      <c r="N25" s="40"/>
      <c r="O25" s="40"/>
      <c r="P25" s="41">
        <f t="shared" si="4"/>
        <v>2937</v>
      </c>
      <c r="Q25"/>
    </row>
    <row r="26" spans="1:17" ht="12.75" customHeight="1" x14ac:dyDescent="0.25">
      <c r="A26"/>
      <c r="B26" s="393"/>
      <c r="C26" s="184" t="s">
        <v>14</v>
      </c>
      <c r="D26" s="25">
        <v>1557</v>
      </c>
      <c r="E26" s="26">
        <v>1344</v>
      </c>
      <c r="F26" s="26">
        <v>1906</v>
      </c>
      <c r="G26" s="26">
        <v>1208</v>
      </c>
      <c r="H26" s="26">
        <v>2283</v>
      </c>
      <c r="I26" s="26">
        <v>2330</v>
      </c>
      <c r="J26" s="26"/>
      <c r="K26" s="26"/>
      <c r="L26" s="26"/>
      <c r="M26" s="26"/>
      <c r="N26" s="26"/>
      <c r="O26" s="26"/>
      <c r="P26" s="27">
        <f t="shared" si="4"/>
        <v>10628</v>
      </c>
      <c r="Q26"/>
    </row>
    <row r="27" spans="1:17" ht="12.75" customHeight="1" thickBot="1" x14ac:dyDescent="0.3">
      <c r="A27"/>
      <c r="B27" s="394"/>
      <c r="C27" s="183" t="s">
        <v>0</v>
      </c>
      <c r="D27" s="43">
        <f>SUM(D25:D26)</f>
        <v>1945</v>
      </c>
      <c r="E27" s="43">
        <f t="shared" ref="E27:O27" si="6">SUM(E25:E26)</f>
        <v>1802</v>
      </c>
      <c r="F27" s="43">
        <f t="shared" si="6"/>
        <v>2435</v>
      </c>
      <c r="G27" s="43">
        <f t="shared" si="6"/>
        <v>1681</v>
      </c>
      <c r="H27" s="43">
        <f t="shared" si="6"/>
        <v>2812</v>
      </c>
      <c r="I27" s="43">
        <f t="shared" si="6"/>
        <v>2890</v>
      </c>
      <c r="J27" s="43">
        <f t="shared" si="6"/>
        <v>0</v>
      </c>
      <c r="K27" s="43">
        <f t="shared" si="6"/>
        <v>0</v>
      </c>
      <c r="L27" s="43">
        <f t="shared" si="6"/>
        <v>0</v>
      </c>
      <c r="M27" s="43">
        <f t="shared" si="6"/>
        <v>0</v>
      </c>
      <c r="N27" s="43">
        <f t="shared" si="6"/>
        <v>0</v>
      </c>
      <c r="O27" s="43">
        <f t="shared" si="6"/>
        <v>0</v>
      </c>
      <c r="P27" s="44">
        <f t="shared" si="4"/>
        <v>13565</v>
      </c>
      <c r="Q27"/>
    </row>
    <row r="28" spans="1:17" ht="12.75" customHeight="1" x14ac:dyDescent="0.25">
      <c r="A28"/>
      <c r="B28" s="401" t="s">
        <v>4</v>
      </c>
      <c r="C28" s="186" t="s">
        <v>116</v>
      </c>
      <c r="D28" s="158">
        <v>533</v>
      </c>
      <c r="E28" s="158">
        <v>565</v>
      </c>
      <c r="F28" s="158">
        <v>416</v>
      </c>
      <c r="G28" s="158">
        <v>489</v>
      </c>
      <c r="H28" s="158">
        <v>357</v>
      </c>
      <c r="I28" s="158">
        <v>488</v>
      </c>
      <c r="J28" s="158"/>
      <c r="K28" s="158"/>
      <c r="L28" s="158"/>
      <c r="M28" s="158"/>
      <c r="N28" s="158"/>
      <c r="O28" s="158"/>
      <c r="P28" s="159">
        <f t="shared" si="4"/>
        <v>2848</v>
      </c>
      <c r="Q28"/>
    </row>
    <row r="29" spans="1:17" ht="12.75" customHeight="1" x14ac:dyDescent="0.25">
      <c r="A29"/>
      <c r="B29" s="402"/>
      <c r="C29" s="187" t="s">
        <v>118</v>
      </c>
      <c r="D29" s="134">
        <v>5501</v>
      </c>
      <c r="E29" s="134">
        <v>4655</v>
      </c>
      <c r="F29" s="134">
        <v>3967</v>
      </c>
      <c r="G29" s="134">
        <v>4023</v>
      </c>
      <c r="H29" s="134">
        <v>4330</v>
      </c>
      <c r="I29" s="134">
        <v>3630</v>
      </c>
      <c r="J29" s="134"/>
      <c r="K29" s="134"/>
      <c r="L29" s="134"/>
      <c r="M29" s="134"/>
      <c r="N29" s="134"/>
      <c r="O29" s="134"/>
      <c r="P29" s="135">
        <f t="shared" si="4"/>
        <v>26106</v>
      </c>
      <c r="Q29"/>
    </row>
    <row r="30" spans="1:17" ht="12.75" customHeight="1" x14ac:dyDescent="0.25">
      <c r="A30"/>
      <c r="B30" s="402"/>
      <c r="C30" s="179" t="s">
        <v>132</v>
      </c>
      <c r="D30" s="29">
        <v>78</v>
      </c>
      <c r="E30" s="30">
        <v>1073</v>
      </c>
      <c r="F30" s="30">
        <v>1897</v>
      </c>
      <c r="G30" s="30">
        <v>2129</v>
      </c>
      <c r="H30" s="30">
        <v>2329</v>
      </c>
      <c r="I30" s="30">
        <v>2456</v>
      </c>
      <c r="J30" s="30"/>
      <c r="K30" s="30"/>
      <c r="L30" s="30"/>
      <c r="M30" s="30"/>
      <c r="N30" s="30"/>
      <c r="O30" s="30"/>
      <c r="P30" s="31">
        <f t="shared" si="4"/>
        <v>9962</v>
      </c>
      <c r="Q30"/>
    </row>
    <row r="31" spans="1:17" ht="12.75" customHeight="1" x14ac:dyDescent="0.25">
      <c r="A31"/>
      <c r="B31" s="402"/>
      <c r="C31" s="179" t="s">
        <v>187</v>
      </c>
      <c r="D31" s="29">
        <v>177</v>
      </c>
      <c r="E31" s="30">
        <v>349</v>
      </c>
      <c r="F31" s="30">
        <v>685</v>
      </c>
      <c r="G31" s="30">
        <v>796</v>
      </c>
      <c r="H31" s="30">
        <v>724</v>
      </c>
      <c r="I31" s="30">
        <v>670</v>
      </c>
      <c r="J31" s="30"/>
      <c r="K31" s="30"/>
      <c r="L31" s="30"/>
      <c r="M31" s="30"/>
      <c r="N31" s="30"/>
      <c r="O31" s="30"/>
      <c r="P31" s="31">
        <f t="shared" si="4"/>
        <v>3401</v>
      </c>
      <c r="Q31"/>
    </row>
    <row r="32" spans="1:17" ht="12.75" customHeight="1" x14ac:dyDescent="0.25">
      <c r="A32"/>
      <c r="B32" s="402"/>
      <c r="C32" s="179" t="s">
        <v>162</v>
      </c>
      <c r="D32" s="29">
        <v>2415</v>
      </c>
      <c r="E32" s="30">
        <v>2592</v>
      </c>
      <c r="F32" s="30">
        <v>1907</v>
      </c>
      <c r="G32" s="30">
        <v>2100</v>
      </c>
      <c r="H32" s="30">
        <v>2859</v>
      </c>
      <c r="I32" s="30">
        <v>2219</v>
      </c>
      <c r="J32" s="30"/>
      <c r="K32" s="30"/>
      <c r="L32" s="30"/>
      <c r="M32" s="30"/>
      <c r="N32" s="30"/>
      <c r="O32" s="30"/>
      <c r="P32" s="31">
        <f t="shared" si="4"/>
        <v>14092</v>
      </c>
      <c r="Q32"/>
    </row>
    <row r="33" spans="1:18" ht="12.75" customHeight="1" x14ac:dyDescent="0.25">
      <c r="A33"/>
      <c r="B33" s="402"/>
      <c r="C33" s="179" t="s">
        <v>149</v>
      </c>
      <c r="D33" s="29">
        <v>1876</v>
      </c>
      <c r="E33" s="30">
        <v>1782</v>
      </c>
      <c r="F33" s="30">
        <v>1959</v>
      </c>
      <c r="G33" s="30">
        <v>1753</v>
      </c>
      <c r="H33" s="30">
        <v>1635</v>
      </c>
      <c r="I33" s="30">
        <v>1745</v>
      </c>
      <c r="J33" s="30"/>
      <c r="K33" s="30"/>
      <c r="L33" s="30"/>
      <c r="M33" s="30"/>
      <c r="N33" s="30"/>
      <c r="O33" s="30"/>
      <c r="P33" s="31">
        <f t="shared" si="4"/>
        <v>10750</v>
      </c>
      <c r="Q33"/>
    </row>
    <row r="34" spans="1:18" ht="12.75" customHeight="1" thickBot="1" x14ac:dyDescent="0.3">
      <c r="A34"/>
      <c r="B34" s="403"/>
      <c r="C34" s="42" t="s">
        <v>0</v>
      </c>
      <c r="D34" s="43">
        <f>SUM(D28:D33)</f>
        <v>10580</v>
      </c>
      <c r="E34" s="43">
        <f t="shared" ref="E34:O34" si="7">SUM(E28:E33)</f>
        <v>11016</v>
      </c>
      <c r="F34" s="43">
        <f t="shared" si="7"/>
        <v>10831</v>
      </c>
      <c r="G34" s="43">
        <f t="shared" si="7"/>
        <v>11290</v>
      </c>
      <c r="H34" s="43">
        <f t="shared" si="7"/>
        <v>12234</v>
      </c>
      <c r="I34" s="43">
        <f t="shared" si="7"/>
        <v>11208</v>
      </c>
      <c r="J34" s="43">
        <f t="shared" si="7"/>
        <v>0</v>
      </c>
      <c r="K34" s="43">
        <f t="shared" si="7"/>
        <v>0</v>
      </c>
      <c r="L34" s="43">
        <f t="shared" si="7"/>
        <v>0</v>
      </c>
      <c r="M34" s="43">
        <f t="shared" si="7"/>
        <v>0</v>
      </c>
      <c r="N34" s="43">
        <f t="shared" si="7"/>
        <v>0</v>
      </c>
      <c r="O34" s="43">
        <f t="shared" si="7"/>
        <v>0</v>
      </c>
      <c r="P34" s="314">
        <f t="shared" si="4"/>
        <v>67159</v>
      </c>
      <c r="Q34"/>
    </row>
    <row r="35" spans="1:18" ht="12.75" customHeight="1" thickBot="1" x14ac:dyDescent="0.3">
      <c r="A35"/>
      <c r="B35" s="404" t="s">
        <v>2</v>
      </c>
      <c r="C35" s="405"/>
      <c r="D35" s="45">
        <f>SUM(D11,D20,D24,D27,D34)</f>
        <v>46205</v>
      </c>
      <c r="E35" s="45">
        <f t="shared" ref="E35:P35" si="8">SUM(E11,E20,E24,E27,E34)</f>
        <v>53010</v>
      </c>
      <c r="F35" s="45">
        <f t="shared" si="8"/>
        <v>52883</v>
      </c>
      <c r="G35" s="45">
        <f t="shared" si="8"/>
        <v>59415</v>
      </c>
      <c r="H35" s="45">
        <f t="shared" si="8"/>
        <v>63373</v>
      </c>
      <c r="I35" s="45">
        <f t="shared" si="8"/>
        <v>59510</v>
      </c>
      <c r="J35" s="45">
        <f t="shared" si="8"/>
        <v>0</v>
      </c>
      <c r="K35" s="45">
        <f t="shared" si="8"/>
        <v>0</v>
      </c>
      <c r="L35" s="45">
        <f t="shared" si="8"/>
        <v>0</v>
      </c>
      <c r="M35" s="45">
        <f t="shared" si="8"/>
        <v>0</v>
      </c>
      <c r="N35" s="45">
        <f t="shared" si="8"/>
        <v>0</v>
      </c>
      <c r="O35" s="45">
        <f t="shared" si="8"/>
        <v>0</v>
      </c>
      <c r="P35" s="315">
        <f t="shared" si="8"/>
        <v>334396</v>
      </c>
      <c r="Q35"/>
    </row>
    <row r="36" spans="1:18" ht="4.5" customHeight="1" x14ac:dyDescent="0.25">
      <c r="A36"/>
      <c r="J36" s="118"/>
      <c r="Q36"/>
    </row>
    <row r="37" spans="1:18" ht="9.6" customHeight="1" x14ac:dyDescent="0.25">
      <c r="A37"/>
      <c r="B37" s="84" t="s">
        <v>24</v>
      </c>
      <c r="C37" s="85"/>
      <c r="D37" s="86">
        <f>SUM(D38:D40)</f>
        <v>5437</v>
      </c>
      <c r="E37" s="86">
        <f t="shared" ref="E37:P37" si="9">SUM(E38:E40)</f>
        <v>3697</v>
      </c>
      <c r="F37" s="86">
        <f t="shared" si="9"/>
        <v>3892</v>
      </c>
      <c r="G37" s="86">
        <f t="shared" si="9"/>
        <v>6382</v>
      </c>
      <c r="H37" s="86">
        <f t="shared" si="9"/>
        <v>4918</v>
      </c>
      <c r="I37" s="86">
        <f t="shared" si="9"/>
        <v>3310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6">
        <f t="shared" si="9"/>
        <v>0</v>
      </c>
      <c r="O37" s="86">
        <f t="shared" si="9"/>
        <v>0</v>
      </c>
      <c r="P37" s="86">
        <f t="shared" si="9"/>
        <v>27636</v>
      </c>
      <c r="R37" s="297"/>
    </row>
    <row r="38" spans="1:18" ht="9.75" customHeight="1" x14ac:dyDescent="0.25">
      <c r="A38"/>
      <c r="B38" s="88"/>
      <c r="C38" s="89" t="s">
        <v>154</v>
      </c>
      <c r="D38" s="102">
        <v>4366</v>
      </c>
      <c r="E38" s="102">
        <v>2846</v>
      </c>
      <c r="F38" s="90">
        <v>2956</v>
      </c>
      <c r="G38" s="103">
        <v>5143</v>
      </c>
      <c r="H38" s="90">
        <v>3911</v>
      </c>
      <c r="I38" s="100">
        <v>2578</v>
      </c>
      <c r="J38" s="101"/>
      <c r="K38" s="93"/>
      <c r="L38" s="93"/>
      <c r="M38" s="93"/>
      <c r="N38" s="93"/>
      <c r="O38" s="93"/>
      <c r="P38" s="292">
        <f>SUM(D38:O38)</f>
        <v>21800</v>
      </c>
    </row>
    <row r="39" spans="1:18" ht="9.75" customHeight="1" x14ac:dyDescent="0.25">
      <c r="A39"/>
      <c r="B39" s="88"/>
      <c r="C39" s="89" t="s">
        <v>155</v>
      </c>
      <c r="D39" s="90">
        <v>733</v>
      </c>
      <c r="E39" s="90">
        <v>519</v>
      </c>
      <c r="F39" s="90">
        <v>534</v>
      </c>
      <c r="G39" s="90">
        <v>687</v>
      </c>
      <c r="H39" s="90">
        <v>636</v>
      </c>
      <c r="I39" s="90">
        <v>565</v>
      </c>
      <c r="J39" s="90"/>
      <c r="K39" s="90"/>
      <c r="L39" s="90"/>
      <c r="M39" s="90"/>
      <c r="N39" s="90"/>
      <c r="O39" s="90"/>
      <c r="P39" s="292">
        <f>SUM(D39:O39)</f>
        <v>3674</v>
      </c>
    </row>
    <row r="40" spans="1:18" ht="9.75" customHeight="1" x14ac:dyDescent="0.25">
      <c r="A40"/>
      <c r="B40" s="92"/>
      <c r="C40" s="89" t="s">
        <v>177</v>
      </c>
      <c r="D40" s="90">
        <v>338</v>
      </c>
      <c r="E40" s="90">
        <v>332</v>
      </c>
      <c r="F40" s="90">
        <v>402</v>
      </c>
      <c r="G40" s="90">
        <v>552</v>
      </c>
      <c r="H40" s="90">
        <v>371</v>
      </c>
      <c r="I40" s="90">
        <v>167</v>
      </c>
      <c r="J40" s="90"/>
      <c r="K40" s="90"/>
      <c r="L40" s="90"/>
      <c r="M40" s="90"/>
      <c r="N40" s="90"/>
      <c r="O40" s="90"/>
      <c r="P40" s="292">
        <f>SUM(D40:O40)</f>
        <v>2162</v>
      </c>
    </row>
    <row r="41" spans="1:18" ht="4.5" customHeight="1" x14ac:dyDescent="0.25">
      <c r="A41"/>
      <c r="J41" s="118"/>
      <c r="Q41"/>
    </row>
    <row r="42" spans="1:18" ht="10.199999999999999" customHeight="1" x14ac:dyDescent="0.25">
      <c r="A42"/>
      <c r="B42" s="95" t="s">
        <v>25</v>
      </c>
      <c r="C42" s="96"/>
      <c r="D42" s="86">
        <f t="shared" ref="D42:P42" si="10">SUM(D43:D45)</f>
        <v>2036</v>
      </c>
      <c r="E42" s="86">
        <f t="shared" si="10"/>
        <v>4176</v>
      </c>
      <c r="F42" s="86">
        <f t="shared" si="10"/>
        <v>4317</v>
      </c>
      <c r="G42" s="86">
        <f t="shared" si="10"/>
        <v>4165</v>
      </c>
      <c r="H42" s="86">
        <f t="shared" si="10"/>
        <v>3990</v>
      </c>
      <c r="I42" s="86">
        <f t="shared" si="10"/>
        <v>4717</v>
      </c>
      <c r="J42" s="86">
        <f t="shared" si="10"/>
        <v>0</v>
      </c>
      <c r="K42" s="86">
        <f t="shared" si="10"/>
        <v>0</v>
      </c>
      <c r="L42" s="86">
        <f t="shared" si="10"/>
        <v>0</v>
      </c>
      <c r="M42" s="86">
        <f t="shared" si="10"/>
        <v>0</v>
      </c>
      <c r="N42" s="86">
        <f t="shared" si="10"/>
        <v>0</v>
      </c>
      <c r="O42" s="86">
        <f t="shared" si="10"/>
        <v>0</v>
      </c>
      <c r="P42" s="86">
        <f t="shared" si="10"/>
        <v>23401</v>
      </c>
    </row>
    <row r="43" spans="1:18" ht="9.9" customHeight="1" x14ac:dyDescent="0.25">
      <c r="A43"/>
      <c r="B43" s="88"/>
      <c r="C43" s="89" t="s">
        <v>53</v>
      </c>
      <c r="D43" s="125">
        <v>141</v>
      </c>
      <c r="E43" s="125">
        <v>1199</v>
      </c>
      <c r="F43" s="125">
        <v>1054</v>
      </c>
      <c r="G43" s="90">
        <v>1509</v>
      </c>
      <c r="H43" s="90">
        <v>1677</v>
      </c>
      <c r="I43" s="90">
        <v>827</v>
      </c>
      <c r="J43" s="90"/>
      <c r="K43" s="90"/>
      <c r="L43" s="90"/>
      <c r="M43" s="90"/>
      <c r="N43" s="90"/>
      <c r="O43" s="90"/>
      <c r="P43" s="291">
        <f>SUM(D43:O43)</f>
        <v>6407</v>
      </c>
    </row>
    <row r="44" spans="1:18" ht="9.9" customHeight="1" x14ac:dyDescent="0.25">
      <c r="A44"/>
      <c r="B44" s="88"/>
      <c r="C44" s="89" t="s">
        <v>140</v>
      </c>
      <c r="D44" s="90">
        <v>147</v>
      </c>
      <c r="E44" s="90">
        <v>491</v>
      </c>
      <c r="F44" s="90">
        <v>634</v>
      </c>
      <c r="G44" s="90">
        <v>414</v>
      </c>
      <c r="H44" s="90">
        <v>117</v>
      </c>
      <c r="I44" s="90">
        <v>629</v>
      </c>
      <c r="J44" s="90"/>
      <c r="K44" s="90"/>
      <c r="L44" s="90"/>
      <c r="M44" s="90"/>
      <c r="N44" s="90"/>
      <c r="O44" s="90"/>
      <c r="P44" s="291">
        <f>SUM(D44:O44)</f>
        <v>2432</v>
      </c>
    </row>
    <row r="45" spans="1:18" ht="9.9" customHeight="1" x14ac:dyDescent="0.25">
      <c r="A45"/>
      <c r="B45" s="92"/>
      <c r="C45" s="89" t="s">
        <v>137</v>
      </c>
      <c r="D45" s="90">
        <v>1748</v>
      </c>
      <c r="E45" s="90">
        <v>2486</v>
      </c>
      <c r="F45" s="90">
        <v>2629</v>
      </c>
      <c r="G45" s="90">
        <v>2242</v>
      </c>
      <c r="H45" s="90">
        <v>2196</v>
      </c>
      <c r="I45" s="90">
        <v>3261</v>
      </c>
      <c r="J45" s="90"/>
      <c r="K45" s="90"/>
      <c r="L45" s="90"/>
      <c r="M45" s="90"/>
      <c r="N45" s="90"/>
      <c r="O45" s="90"/>
      <c r="P45" s="291">
        <f>SUM(D45:O45)</f>
        <v>14562</v>
      </c>
    </row>
    <row r="46" spans="1:18" ht="6" customHeight="1" x14ac:dyDescent="0.25">
      <c r="A46"/>
      <c r="B46" s="104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  <row r="47" spans="1:18" ht="11.4" customHeight="1" x14ac:dyDescent="0.25">
      <c r="A47"/>
      <c r="B47" s="84" t="s">
        <v>27</v>
      </c>
      <c r="C47" s="85"/>
      <c r="D47" s="86">
        <f>SUM(D48:D49)</f>
        <v>1806</v>
      </c>
      <c r="E47" s="86">
        <f t="shared" ref="E47:P47" si="11">SUM(E48:E49)</f>
        <v>4490</v>
      </c>
      <c r="F47" s="86">
        <f t="shared" si="11"/>
        <v>6663</v>
      </c>
      <c r="G47" s="86">
        <f t="shared" si="11"/>
        <v>5192</v>
      </c>
      <c r="H47" s="86">
        <f t="shared" si="11"/>
        <v>7602</v>
      </c>
      <c r="I47" s="86">
        <f t="shared" si="11"/>
        <v>7919</v>
      </c>
      <c r="J47" s="86">
        <f t="shared" si="11"/>
        <v>0</v>
      </c>
      <c r="K47" s="86">
        <f t="shared" si="11"/>
        <v>0</v>
      </c>
      <c r="L47" s="86">
        <f t="shared" si="11"/>
        <v>0</v>
      </c>
      <c r="M47" s="86">
        <f t="shared" si="11"/>
        <v>0</v>
      </c>
      <c r="N47" s="86">
        <f t="shared" si="11"/>
        <v>0</v>
      </c>
      <c r="O47" s="86">
        <f t="shared" si="11"/>
        <v>0</v>
      </c>
      <c r="P47" s="86">
        <f t="shared" si="11"/>
        <v>33672</v>
      </c>
    </row>
    <row r="48" spans="1:18" ht="9.75" customHeight="1" x14ac:dyDescent="0.25">
      <c r="A48"/>
      <c r="B48" s="88"/>
      <c r="C48" s="150" t="s">
        <v>80</v>
      </c>
      <c r="D48" s="151">
        <v>1663</v>
      </c>
      <c r="E48" s="151">
        <v>3155</v>
      </c>
      <c r="F48" s="152">
        <v>3888</v>
      </c>
      <c r="G48" s="153">
        <v>3311</v>
      </c>
      <c r="H48" s="152">
        <v>4800</v>
      </c>
      <c r="I48" s="154">
        <v>5094</v>
      </c>
      <c r="J48" s="154"/>
      <c r="K48" s="152"/>
      <c r="L48" s="152"/>
      <c r="M48" s="152"/>
      <c r="N48" s="152"/>
      <c r="O48" s="152"/>
      <c r="P48" s="291">
        <f>SUM(D48:O48)</f>
        <v>21911</v>
      </c>
    </row>
    <row r="49" spans="1:17" ht="9.75" customHeight="1" x14ac:dyDescent="0.25">
      <c r="A49"/>
      <c r="B49" s="92"/>
      <c r="C49" s="89" t="s">
        <v>141</v>
      </c>
      <c r="D49" s="102">
        <v>143</v>
      </c>
      <c r="E49" s="102">
        <v>1335</v>
      </c>
      <c r="F49" s="90">
        <v>2775</v>
      </c>
      <c r="G49" s="103">
        <v>1881</v>
      </c>
      <c r="H49" s="90">
        <v>2802</v>
      </c>
      <c r="I49" s="100">
        <v>2825</v>
      </c>
      <c r="J49" s="101"/>
      <c r="K49" s="93"/>
      <c r="L49" s="93"/>
      <c r="M49" s="93"/>
      <c r="N49" s="93"/>
      <c r="O49" s="93"/>
      <c r="P49" s="291">
        <f>SUM(D49:O49)</f>
        <v>11761</v>
      </c>
    </row>
    <row r="50" spans="1:17" ht="6" customHeight="1" x14ac:dyDescent="0.25">
      <c r="A50"/>
      <c r="B50" s="104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</row>
    <row r="51" spans="1:17" ht="9.9" customHeight="1" x14ac:dyDescent="0.25">
      <c r="B51" s="84" t="s">
        <v>114</v>
      </c>
      <c r="C51" s="85"/>
      <c r="D51" s="86">
        <f>SUM(D52:D55)</f>
        <v>479</v>
      </c>
      <c r="E51" s="86">
        <f t="shared" ref="E51:P51" si="12">SUM(E52:E55)</f>
        <v>923</v>
      </c>
      <c r="F51" s="86">
        <f t="shared" si="12"/>
        <v>759</v>
      </c>
      <c r="G51" s="86">
        <f t="shared" si="12"/>
        <v>773</v>
      </c>
      <c r="H51" s="86">
        <f t="shared" si="12"/>
        <v>759</v>
      </c>
      <c r="I51" s="86">
        <f t="shared" si="12"/>
        <v>758</v>
      </c>
      <c r="J51" s="86">
        <f t="shared" si="12"/>
        <v>0</v>
      </c>
      <c r="K51" s="86">
        <f t="shared" si="12"/>
        <v>0</v>
      </c>
      <c r="L51" s="86">
        <f t="shared" si="12"/>
        <v>0</v>
      </c>
      <c r="M51" s="86">
        <f t="shared" si="12"/>
        <v>0</v>
      </c>
      <c r="N51" s="86">
        <f t="shared" si="12"/>
        <v>0</v>
      </c>
      <c r="O51" s="86">
        <f t="shared" si="12"/>
        <v>0</v>
      </c>
      <c r="P51" s="86">
        <f t="shared" si="12"/>
        <v>4451</v>
      </c>
    </row>
    <row r="52" spans="1:17" ht="9.9" customHeight="1" x14ac:dyDescent="0.25">
      <c r="B52" s="88"/>
      <c r="C52" s="89" t="s">
        <v>129</v>
      </c>
      <c r="D52" s="102">
        <v>259</v>
      </c>
      <c r="E52" s="102">
        <v>667</v>
      </c>
      <c r="F52" s="90">
        <v>543</v>
      </c>
      <c r="G52" s="103">
        <v>543</v>
      </c>
      <c r="H52" s="90">
        <v>605</v>
      </c>
      <c r="I52" s="100">
        <v>528</v>
      </c>
      <c r="J52" s="101"/>
      <c r="K52" s="93"/>
      <c r="L52" s="93"/>
      <c r="M52" s="93"/>
      <c r="N52" s="93"/>
      <c r="O52" s="93"/>
      <c r="P52" s="292">
        <f>SUM(D52:O52)</f>
        <v>3145</v>
      </c>
    </row>
    <row r="53" spans="1:17" ht="9.9" customHeight="1" x14ac:dyDescent="0.25">
      <c r="B53" s="88"/>
      <c r="C53" s="89" t="s">
        <v>143</v>
      </c>
      <c r="D53" s="102">
        <v>194</v>
      </c>
      <c r="E53" s="102">
        <v>225</v>
      </c>
      <c r="F53" s="90">
        <v>169</v>
      </c>
      <c r="G53" s="103">
        <v>194</v>
      </c>
      <c r="H53" s="90">
        <v>135</v>
      </c>
      <c r="I53" s="100">
        <v>205</v>
      </c>
      <c r="J53" s="100"/>
      <c r="K53" s="90"/>
      <c r="L53" s="90"/>
      <c r="M53" s="90"/>
      <c r="N53" s="90"/>
      <c r="O53" s="90"/>
      <c r="P53" s="292">
        <f>SUM(D53:O53)</f>
        <v>1122</v>
      </c>
    </row>
    <row r="54" spans="1:17" ht="9.9" customHeight="1" x14ac:dyDescent="0.25">
      <c r="B54" s="88"/>
      <c r="C54" s="89" t="s">
        <v>177</v>
      </c>
      <c r="D54" s="102">
        <v>26</v>
      </c>
      <c r="E54" s="102">
        <v>31</v>
      </c>
      <c r="F54" s="90">
        <v>47</v>
      </c>
      <c r="G54" s="103">
        <v>36</v>
      </c>
      <c r="H54" s="90">
        <v>19</v>
      </c>
      <c r="I54" s="100">
        <v>25</v>
      </c>
      <c r="J54" s="100"/>
      <c r="K54" s="90"/>
      <c r="L54" s="90"/>
      <c r="M54" s="90"/>
      <c r="N54" s="90"/>
      <c r="O54" s="90"/>
      <c r="P54" s="292">
        <f>SUM(D54:O54)</f>
        <v>184</v>
      </c>
    </row>
    <row r="55" spans="1:17" ht="9.9" customHeight="1" x14ac:dyDescent="0.25">
      <c r="B55" s="92"/>
      <c r="C55" s="89" t="s">
        <v>144</v>
      </c>
      <c r="D55" s="102">
        <v>0</v>
      </c>
      <c r="E55" s="102">
        <v>0</v>
      </c>
      <c r="F55" s="90">
        <v>0</v>
      </c>
      <c r="G55" s="103">
        <v>0</v>
      </c>
      <c r="H55" s="90">
        <v>0</v>
      </c>
      <c r="I55" s="100">
        <v>0</v>
      </c>
      <c r="J55" s="101"/>
      <c r="K55" s="93"/>
      <c r="L55" s="93"/>
      <c r="M55" s="93"/>
      <c r="N55" s="93"/>
      <c r="O55" s="93"/>
      <c r="P55" s="291">
        <f>SUM(D55:O55)</f>
        <v>0</v>
      </c>
    </row>
    <row r="56" spans="1:17" s="210" customFormat="1" ht="6.6" customHeight="1" x14ac:dyDescent="0.25">
      <c r="A56" s="205"/>
      <c r="B56" s="104"/>
      <c r="C56" s="104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8"/>
      <c r="Q56" s="209"/>
    </row>
    <row r="57" spans="1:17" ht="9.9" customHeight="1" x14ac:dyDescent="0.25">
      <c r="B57" s="84" t="s">
        <v>60</v>
      </c>
      <c r="C57" s="85"/>
      <c r="D57" s="86">
        <f>SUM(D58:D59)</f>
        <v>3619</v>
      </c>
      <c r="E57" s="86">
        <f>SUM(E58:E59)</f>
        <v>2684</v>
      </c>
      <c r="F57" s="86">
        <f t="shared" ref="F57:P57" si="13">SUM(F58:F59)</f>
        <v>2740</v>
      </c>
      <c r="G57" s="86">
        <f t="shared" si="13"/>
        <v>4175</v>
      </c>
      <c r="H57" s="86">
        <f t="shared" si="13"/>
        <v>3722</v>
      </c>
      <c r="I57" s="86">
        <f t="shared" si="13"/>
        <v>2864</v>
      </c>
      <c r="J57" s="86">
        <f t="shared" si="13"/>
        <v>0</v>
      </c>
      <c r="K57" s="86">
        <f t="shared" si="13"/>
        <v>0</v>
      </c>
      <c r="L57" s="86">
        <f t="shared" si="13"/>
        <v>0</v>
      </c>
      <c r="M57" s="86">
        <f t="shared" si="13"/>
        <v>0</v>
      </c>
      <c r="N57" s="86">
        <f t="shared" si="13"/>
        <v>0</v>
      </c>
      <c r="O57" s="86">
        <f t="shared" si="13"/>
        <v>0</v>
      </c>
      <c r="P57" s="86">
        <f t="shared" si="13"/>
        <v>19804</v>
      </c>
    </row>
    <row r="58" spans="1:17" ht="9.9" customHeight="1" x14ac:dyDescent="0.25">
      <c r="B58" s="88"/>
      <c r="C58" s="89" t="s">
        <v>157</v>
      </c>
      <c r="D58" s="102">
        <v>2728</v>
      </c>
      <c r="E58" s="102">
        <v>2034</v>
      </c>
      <c r="F58" s="90">
        <v>2072</v>
      </c>
      <c r="G58" s="103">
        <v>3273</v>
      </c>
      <c r="H58" s="90">
        <v>2258</v>
      </c>
      <c r="I58" s="100">
        <v>1724</v>
      </c>
      <c r="J58" s="100"/>
      <c r="K58" s="90"/>
      <c r="L58" s="90"/>
      <c r="M58" s="90"/>
      <c r="N58" s="90"/>
      <c r="O58" s="90"/>
      <c r="P58" s="292">
        <f>SUM(D58:O58)</f>
        <v>14089</v>
      </c>
    </row>
    <row r="59" spans="1:17" ht="9.9" customHeight="1" x14ac:dyDescent="0.25">
      <c r="B59" s="92"/>
      <c r="C59" s="89" t="s">
        <v>158</v>
      </c>
      <c r="D59" s="102">
        <v>891</v>
      </c>
      <c r="E59" s="102">
        <v>650</v>
      </c>
      <c r="F59" s="90">
        <v>668</v>
      </c>
      <c r="G59" s="103">
        <v>902</v>
      </c>
      <c r="H59" s="90">
        <v>1464</v>
      </c>
      <c r="I59" s="100">
        <v>1140</v>
      </c>
      <c r="J59" s="100"/>
      <c r="K59" s="90"/>
      <c r="L59" s="90"/>
      <c r="M59" s="90"/>
      <c r="N59" s="90"/>
      <c r="O59" s="90"/>
      <c r="P59" s="292">
        <f>SUM(D59:O59)</f>
        <v>5715</v>
      </c>
    </row>
    <row r="60" spans="1:17" s="210" customFormat="1" ht="6.6" customHeight="1" x14ac:dyDescent="0.25">
      <c r="A60" s="205"/>
      <c r="B60" s="104"/>
      <c r="C60" s="104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8"/>
      <c r="Q60" s="209"/>
    </row>
    <row r="61" spans="1:17" ht="9.9" customHeight="1" x14ac:dyDescent="0.25">
      <c r="B61" s="84" t="s">
        <v>8</v>
      </c>
      <c r="C61" s="85"/>
      <c r="D61" s="286">
        <f>SUM(D62:D63)</f>
        <v>2159</v>
      </c>
      <c r="E61" s="286">
        <f t="shared" ref="E61:P61" si="14">SUM(E62:E63)</f>
        <v>1680</v>
      </c>
      <c r="F61" s="286">
        <f t="shared" si="14"/>
        <v>1860</v>
      </c>
      <c r="G61" s="286">
        <f t="shared" si="14"/>
        <v>1997</v>
      </c>
      <c r="H61" s="286">
        <f t="shared" si="14"/>
        <v>2477</v>
      </c>
      <c r="I61" s="286">
        <f t="shared" si="14"/>
        <v>2913</v>
      </c>
      <c r="J61" s="286">
        <f t="shared" si="14"/>
        <v>0</v>
      </c>
      <c r="K61" s="286">
        <f t="shared" si="14"/>
        <v>0</v>
      </c>
      <c r="L61" s="286">
        <f t="shared" si="14"/>
        <v>0</v>
      </c>
      <c r="M61" s="286">
        <f t="shared" si="14"/>
        <v>0</v>
      </c>
      <c r="N61" s="286">
        <f t="shared" si="14"/>
        <v>0</v>
      </c>
      <c r="O61" s="286">
        <f t="shared" si="14"/>
        <v>0</v>
      </c>
      <c r="P61" s="286">
        <f t="shared" si="14"/>
        <v>13086</v>
      </c>
    </row>
    <row r="62" spans="1:17" ht="9.9" customHeight="1" x14ac:dyDescent="0.25">
      <c r="B62" s="88"/>
      <c r="C62" s="89" t="s">
        <v>124</v>
      </c>
      <c r="D62" s="90">
        <v>1039</v>
      </c>
      <c r="E62" s="90">
        <v>831</v>
      </c>
      <c r="F62" s="90">
        <v>988</v>
      </c>
      <c r="G62" s="90">
        <v>1139</v>
      </c>
      <c r="H62" s="90">
        <v>1376</v>
      </c>
      <c r="I62" s="90">
        <v>1657</v>
      </c>
      <c r="J62" s="100"/>
      <c r="K62" s="90"/>
      <c r="L62" s="90"/>
      <c r="M62" s="90"/>
      <c r="N62" s="90"/>
      <c r="O62" s="90"/>
      <c r="P62" s="292">
        <f>SUM(D62:O62)</f>
        <v>7030</v>
      </c>
    </row>
    <row r="63" spans="1:17" ht="9.9" customHeight="1" x14ac:dyDescent="0.25">
      <c r="B63" s="92"/>
      <c r="C63" s="89" t="s">
        <v>181</v>
      </c>
      <c r="D63" s="287">
        <v>1120</v>
      </c>
      <c r="E63" s="287">
        <v>849</v>
      </c>
      <c r="F63" s="288">
        <v>872</v>
      </c>
      <c r="G63" s="289">
        <v>858</v>
      </c>
      <c r="H63" s="288">
        <v>1101</v>
      </c>
      <c r="I63" s="290">
        <v>1256</v>
      </c>
      <c r="J63" s="100"/>
      <c r="K63" s="90"/>
      <c r="L63" s="90"/>
      <c r="M63" s="90"/>
      <c r="N63" s="90"/>
      <c r="O63" s="90"/>
      <c r="P63" s="292">
        <f>SUM(D63:O63)</f>
        <v>6056</v>
      </c>
    </row>
    <row r="64" spans="1:17" s="210" customFormat="1" ht="7.2" customHeight="1" x14ac:dyDescent="0.25">
      <c r="A64" s="205"/>
      <c r="B64" s="104"/>
      <c r="C64" s="104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8"/>
      <c r="Q64" s="209"/>
    </row>
    <row r="65" spans="1:17" ht="10.199999999999999" customHeight="1" x14ac:dyDescent="0.25">
      <c r="B65" s="95" t="s">
        <v>118</v>
      </c>
      <c r="C65" s="96"/>
      <c r="D65" s="86">
        <f t="shared" ref="D65:P65" si="15">SUM(D66:D67)</f>
        <v>5501</v>
      </c>
      <c r="E65" s="86">
        <f t="shared" si="15"/>
        <v>4655</v>
      </c>
      <c r="F65" s="86">
        <f t="shared" si="15"/>
        <v>3967</v>
      </c>
      <c r="G65" s="86">
        <f t="shared" si="15"/>
        <v>4023</v>
      </c>
      <c r="H65" s="86">
        <f t="shared" si="15"/>
        <v>4330</v>
      </c>
      <c r="I65" s="86">
        <f t="shared" si="15"/>
        <v>3630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86">
        <f t="shared" si="15"/>
        <v>0</v>
      </c>
      <c r="P65" s="86">
        <f t="shared" si="15"/>
        <v>26106</v>
      </c>
    </row>
    <row r="66" spans="1:17" ht="9.9" customHeight="1" x14ac:dyDescent="0.25">
      <c r="B66" s="88"/>
      <c r="C66" s="89" t="s">
        <v>152</v>
      </c>
      <c r="D66" s="102">
        <v>5323</v>
      </c>
      <c r="E66" s="102">
        <v>4543</v>
      </c>
      <c r="F66" s="102">
        <v>3640</v>
      </c>
      <c r="G66" s="102">
        <v>3793</v>
      </c>
      <c r="H66" s="102">
        <v>3994</v>
      </c>
      <c r="I66" s="102">
        <v>3222</v>
      </c>
      <c r="J66" s="102"/>
      <c r="K66" s="102"/>
      <c r="L66" s="102"/>
      <c r="M66" s="102"/>
      <c r="N66" s="93"/>
      <c r="O66" s="93"/>
      <c r="P66" s="291">
        <f>SUM(D66:O66)</f>
        <v>24515</v>
      </c>
    </row>
    <row r="67" spans="1:17" s="16" customFormat="1" ht="8.4" customHeight="1" x14ac:dyDescent="0.25">
      <c r="A67" s="20"/>
      <c r="B67" s="92"/>
      <c r="C67" s="89" t="s">
        <v>196</v>
      </c>
      <c r="D67" s="102">
        <v>178</v>
      </c>
      <c r="E67" s="102">
        <v>112</v>
      </c>
      <c r="F67" s="102">
        <v>327</v>
      </c>
      <c r="G67" s="102">
        <v>230</v>
      </c>
      <c r="H67" s="102">
        <v>336</v>
      </c>
      <c r="I67" s="102">
        <v>408</v>
      </c>
      <c r="J67" s="102"/>
      <c r="K67" s="102"/>
      <c r="L67" s="102"/>
      <c r="M67" s="102"/>
      <c r="N67" s="93"/>
      <c r="O67" s="93"/>
      <c r="P67" s="291">
        <f>SUM(D67:O67)</f>
        <v>1591</v>
      </c>
      <c r="Q67" s="115"/>
    </row>
    <row r="68" spans="1:17" ht="6.6" customHeight="1" x14ac:dyDescent="0.25">
      <c r="A68" s="193"/>
      <c r="B68" s="194"/>
      <c r="C68" s="194"/>
      <c r="D68" s="195"/>
      <c r="E68" s="195"/>
      <c r="F68" s="195"/>
      <c r="G68" s="195"/>
      <c r="H68" s="195"/>
      <c r="I68" s="195"/>
      <c r="J68" s="196"/>
      <c r="K68" s="196"/>
      <c r="L68" s="196"/>
      <c r="M68" s="196"/>
      <c r="N68" s="196"/>
      <c r="O68" s="196"/>
      <c r="P68" s="197"/>
    </row>
    <row r="69" spans="1:17" ht="10.199999999999999" customHeight="1" x14ac:dyDescent="0.25">
      <c r="B69" s="84" t="s">
        <v>162</v>
      </c>
      <c r="C69" s="85"/>
      <c r="D69" s="86">
        <f>SUM(D70,D71)</f>
        <v>2415</v>
      </c>
      <c r="E69" s="86">
        <f t="shared" ref="E69:O69" si="16">SUM(E70,E71)</f>
        <v>2592</v>
      </c>
      <c r="F69" s="86">
        <f t="shared" si="16"/>
        <v>1907</v>
      </c>
      <c r="G69" s="86">
        <f t="shared" si="16"/>
        <v>2100</v>
      </c>
      <c r="H69" s="86">
        <f t="shared" si="16"/>
        <v>2859</v>
      </c>
      <c r="I69" s="86">
        <f t="shared" si="16"/>
        <v>2219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86">
        <f t="shared" si="16"/>
        <v>0</v>
      </c>
      <c r="P69" s="86">
        <f>SUM(P70:P71)</f>
        <v>14092</v>
      </c>
    </row>
    <row r="70" spans="1:17" ht="9.9" customHeight="1" x14ac:dyDescent="0.25">
      <c r="B70" s="88"/>
      <c r="C70" s="89" t="s">
        <v>195</v>
      </c>
      <c r="D70" s="102">
        <v>2415</v>
      </c>
      <c r="E70" s="102">
        <v>2592</v>
      </c>
      <c r="F70" s="102">
        <v>1813</v>
      </c>
      <c r="G70" s="102">
        <v>1686</v>
      </c>
      <c r="H70" s="102">
        <v>2315</v>
      </c>
      <c r="I70" s="102">
        <v>1734</v>
      </c>
      <c r="J70" s="102"/>
      <c r="K70" s="102"/>
      <c r="L70" s="102"/>
      <c r="M70" s="102"/>
      <c r="N70" s="93"/>
      <c r="O70" s="93"/>
      <c r="P70" s="291">
        <f>SUM(D70:O70)</f>
        <v>12555</v>
      </c>
    </row>
    <row r="71" spans="1:17" s="16" customFormat="1" ht="8.4" customHeight="1" x14ac:dyDescent="0.25">
      <c r="A71" s="20"/>
      <c r="B71" s="92"/>
      <c r="C71" s="89" t="s">
        <v>197</v>
      </c>
      <c r="D71" s="102">
        <v>0</v>
      </c>
      <c r="E71" s="102">
        <v>0</v>
      </c>
      <c r="F71" s="102">
        <v>94</v>
      </c>
      <c r="G71" s="102">
        <v>414</v>
      </c>
      <c r="H71" s="102">
        <v>544</v>
      </c>
      <c r="I71" s="102">
        <v>485</v>
      </c>
      <c r="J71" s="102"/>
      <c r="K71" s="102"/>
      <c r="L71" s="102"/>
      <c r="M71" s="102"/>
      <c r="N71" s="93"/>
      <c r="O71" s="93"/>
      <c r="P71" s="291">
        <f>SUM(D71:O71)</f>
        <v>1537</v>
      </c>
      <c r="Q71" s="115"/>
    </row>
    <row r="72" spans="1:17" ht="6.6" customHeight="1" x14ac:dyDescent="0.25">
      <c r="A72" s="193"/>
      <c r="B72" s="194"/>
      <c r="C72" s="194"/>
      <c r="D72" s="195"/>
      <c r="E72" s="195"/>
      <c r="F72" s="195"/>
      <c r="G72" s="195"/>
      <c r="H72" s="195"/>
      <c r="I72" s="195"/>
      <c r="J72" s="196"/>
      <c r="K72" s="196"/>
      <c r="L72" s="196"/>
      <c r="M72" s="196"/>
      <c r="N72" s="196"/>
      <c r="O72" s="196"/>
      <c r="P72" s="197"/>
    </row>
    <row r="73" spans="1:17" ht="10.199999999999999" customHeight="1" x14ac:dyDescent="0.25">
      <c r="B73" s="84" t="s">
        <v>12</v>
      </c>
      <c r="C73" s="85"/>
      <c r="D73" s="86">
        <f>SUM(D74:D75)</f>
        <v>5443</v>
      </c>
      <c r="E73" s="86">
        <f t="shared" ref="E73:P73" si="17">SUM(E74:E75)</f>
        <v>7995</v>
      </c>
      <c r="F73" s="86">
        <f t="shared" si="17"/>
        <v>4708</v>
      </c>
      <c r="G73" s="86">
        <f t="shared" si="17"/>
        <v>8423</v>
      </c>
      <c r="H73" s="86">
        <f t="shared" si="17"/>
        <v>8299</v>
      </c>
      <c r="I73" s="86">
        <f t="shared" si="17"/>
        <v>6980</v>
      </c>
      <c r="J73" s="86">
        <f t="shared" si="17"/>
        <v>0</v>
      </c>
      <c r="K73" s="86">
        <f t="shared" si="17"/>
        <v>0</v>
      </c>
      <c r="L73" s="86">
        <f t="shared" si="17"/>
        <v>0</v>
      </c>
      <c r="M73" s="86">
        <f t="shared" si="17"/>
        <v>0</v>
      </c>
      <c r="N73" s="86">
        <f t="shared" si="17"/>
        <v>0</v>
      </c>
      <c r="O73" s="86">
        <f t="shared" si="17"/>
        <v>0</v>
      </c>
      <c r="P73" s="86">
        <f t="shared" si="17"/>
        <v>41848</v>
      </c>
    </row>
    <row r="74" spans="1:17" ht="9" customHeight="1" x14ac:dyDescent="0.25">
      <c r="B74" s="88"/>
      <c r="C74" s="89" t="s">
        <v>198</v>
      </c>
      <c r="D74" s="102">
        <v>5402</v>
      </c>
      <c r="E74" s="102">
        <v>5038</v>
      </c>
      <c r="F74" s="90">
        <v>3699</v>
      </c>
      <c r="G74" s="103">
        <v>6604</v>
      </c>
      <c r="H74" s="90">
        <v>6054</v>
      </c>
      <c r="I74" s="100">
        <v>5011</v>
      </c>
      <c r="J74" s="100"/>
      <c r="K74" s="90"/>
      <c r="L74" s="90"/>
      <c r="M74" s="90"/>
      <c r="N74" s="90"/>
      <c r="O74" s="90"/>
      <c r="P74" s="292">
        <f>SUM(D74:O74)</f>
        <v>31808</v>
      </c>
      <c r="Q74"/>
    </row>
    <row r="75" spans="1:17" ht="8.4" customHeight="1" x14ac:dyDescent="0.25">
      <c r="B75" s="92"/>
      <c r="C75" s="89" t="s">
        <v>199</v>
      </c>
      <c r="D75" s="102">
        <v>41</v>
      </c>
      <c r="E75" s="102">
        <v>2957</v>
      </c>
      <c r="F75" s="102">
        <v>1009</v>
      </c>
      <c r="G75" s="102">
        <v>1819</v>
      </c>
      <c r="H75" s="102">
        <v>2245</v>
      </c>
      <c r="I75" s="102">
        <v>1969</v>
      </c>
      <c r="J75" s="102"/>
      <c r="K75" s="102"/>
      <c r="L75" s="102"/>
      <c r="M75" s="102"/>
      <c r="N75" s="93"/>
      <c r="O75" s="93"/>
      <c r="P75" s="292">
        <f>SUM(D75:O75)</f>
        <v>10040</v>
      </c>
      <c r="Q75"/>
    </row>
    <row r="76" spans="1:17" s="16" customFormat="1" ht="13.2" hidden="1" x14ac:dyDescent="0.2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Q76" s="115"/>
    </row>
    <row r="77" spans="1:17" ht="15" hidden="1" thickBot="1" x14ac:dyDescent="0.3">
      <c r="B77" s="18" t="s">
        <v>164</v>
      </c>
      <c r="C77" s="18"/>
    </row>
    <row r="78" spans="1:17" ht="12.75" hidden="1" customHeight="1" thickBot="1" x14ac:dyDescent="0.3">
      <c r="B78" s="390" t="s">
        <v>1</v>
      </c>
      <c r="C78" s="391"/>
      <c r="D78" s="21">
        <v>1</v>
      </c>
      <c r="E78" s="22">
        <v>2</v>
      </c>
      <c r="F78" s="22">
        <v>3</v>
      </c>
      <c r="G78" s="22">
        <v>4</v>
      </c>
      <c r="H78" s="22">
        <v>5</v>
      </c>
      <c r="I78" s="22">
        <v>6</v>
      </c>
      <c r="J78" s="22">
        <v>7</v>
      </c>
      <c r="K78" s="22">
        <v>8</v>
      </c>
      <c r="L78" s="22" t="s">
        <v>78</v>
      </c>
      <c r="M78" s="22">
        <v>10</v>
      </c>
      <c r="N78" s="22">
        <v>11</v>
      </c>
      <c r="O78" s="22">
        <v>12</v>
      </c>
      <c r="P78" s="23" t="s">
        <v>0</v>
      </c>
    </row>
    <row r="79" spans="1:17" ht="12.75" hidden="1" customHeight="1" x14ac:dyDescent="0.25">
      <c r="B79" s="392" t="s">
        <v>46</v>
      </c>
      <c r="C79" s="178" t="s">
        <v>22</v>
      </c>
      <c r="D79" s="78">
        <v>45</v>
      </c>
      <c r="E79" s="79">
        <v>41</v>
      </c>
      <c r="F79" s="78">
        <v>78</v>
      </c>
      <c r="G79" s="79">
        <v>42</v>
      </c>
      <c r="H79" s="79">
        <v>93</v>
      </c>
      <c r="I79" s="79">
        <v>47</v>
      </c>
      <c r="J79" s="79">
        <v>29</v>
      </c>
      <c r="K79" s="79">
        <v>22</v>
      </c>
      <c r="L79" s="81">
        <v>41</v>
      </c>
      <c r="M79" s="79">
        <v>26</v>
      </c>
      <c r="N79" s="79">
        <v>13</v>
      </c>
      <c r="O79" s="79">
        <v>33</v>
      </c>
      <c r="P79" s="80">
        <f t="shared" ref="P79:P84" si="18">SUM(D79:O79)</f>
        <v>510</v>
      </c>
      <c r="Q79"/>
    </row>
    <row r="80" spans="1:17" ht="12.75" hidden="1" customHeight="1" x14ac:dyDescent="0.25">
      <c r="B80" s="393"/>
      <c r="C80" s="178" t="s">
        <v>24</v>
      </c>
      <c r="D80" s="78">
        <v>6552</v>
      </c>
      <c r="E80" s="78">
        <v>5124</v>
      </c>
      <c r="F80" s="78">
        <v>8454</v>
      </c>
      <c r="G80" s="78">
        <v>7422</v>
      </c>
      <c r="H80" s="78">
        <v>6697</v>
      </c>
      <c r="I80" s="78">
        <v>5973</v>
      </c>
      <c r="J80" s="78">
        <v>5386</v>
      </c>
      <c r="K80" s="78">
        <v>4447</v>
      </c>
      <c r="L80" s="78">
        <v>5217</v>
      </c>
      <c r="M80" s="78">
        <v>3368</v>
      </c>
      <c r="N80" s="78">
        <v>5441</v>
      </c>
      <c r="O80" s="78">
        <v>6955</v>
      </c>
      <c r="P80" s="31">
        <f t="shared" si="18"/>
        <v>71036</v>
      </c>
      <c r="Q80"/>
    </row>
    <row r="81" spans="1:17" ht="12.75" hidden="1" customHeight="1" x14ac:dyDescent="0.25">
      <c r="B81" s="393"/>
      <c r="C81" s="178" t="s">
        <v>69</v>
      </c>
      <c r="D81" s="78">
        <v>0</v>
      </c>
      <c r="E81" s="78">
        <v>1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27">
        <f t="shared" si="18"/>
        <v>1</v>
      </c>
      <c r="Q81"/>
    </row>
    <row r="82" spans="1:17" ht="12.75" hidden="1" customHeight="1" x14ac:dyDescent="0.25">
      <c r="B82" s="393"/>
      <c r="C82" s="179" t="s">
        <v>3</v>
      </c>
      <c r="D82" s="29">
        <v>1</v>
      </c>
      <c r="E82" s="30">
        <v>0</v>
      </c>
      <c r="F82" s="29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2">
        <v>0</v>
      </c>
      <c r="M82" s="30">
        <v>0</v>
      </c>
      <c r="N82" s="30">
        <v>0</v>
      </c>
      <c r="O82" s="30">
        <v>0</v>
      </c>
      <c r="P82" s="80">
        <f t="shared" si="18"/>
        <v>1</v>
      </c>
      <c r="Q82"/>
    </row>
    <row r="83" spans="1:17" ht="12.75" hidden="1" customHeight="1" x14ac:dyDescent="0.25">
      <c r="B83" s="393"/>
      <c r="C83" s="180" t="s">
        <v>25</v>
      </c>
      <c r="D83" s="76">
        <v>3612</v>
      </c>
      <c r="E83" s="76">
        <v>4186</v>
      </c>
      <c r="F83" s="76">
        <v>6233</v>
      </c>
      <c r="G83" s="76">
        <v>7068</v>
      </c>
      <c r="H83" s="76">
        <v>5131</v>
      </c>
      <c r="I83" s="76">
        <v>6127</v>
      </c>
      <c r="J83" s="76">
        <v>3712</v>
      </c>
      <c r="K83" s="76">
        <v>4686</v>
      </c>
      <c r="L83" s="76">
        <v>5003</v>
      </c>
      <c r="M83" s="76">
        <v>6136</v>
      </c>
      <c r="N83" s="76">
        <v>5179</v>
      </c>
      <c r="O83" s="76">
        <v>6036</v>
      </c>
      <c r="P83" s="80">
        <f t="shared" si="18"/>
        <v>63109</v>
      </c>
      <c r="Q83"/>
    </row>
    <row r="84" spans="1:17" ht="12.75" hidden="1" customHeight="1" x14ac:dyDescent="0.25">
      <c r="B84" s="393"/>
      <c r="C84" s="181" t="s">
        <v>27</v>
      </c>
      <c r="D84" s="74">
        <v>8081</v>
      </c>
      <c r="E84" s="74">
        <v>8563</v>
      </c>
      <c r="F84" s="74">
        <v>9217</v>
      </c>
      <c r="G84" s="74">
        <v>9684</v>
      </c>
      <c r="H84" s="74">
        <v>7802</v>
      </c>
      <c r="I84" s="74">
        <v>9483</v>
      </c>
      <c r="J84" s="74">
        <v>5247</v>
      </c>
      <c r="K84" s="74">
        <v>3685</v>
      </c>
      <c r="L84" s="74">
        <v>3216</v>
      </c>
      <c r="M84" s="74">
        <v>9448</v>
      </c>
      <c r="N84" s="74">
        <v>6918</v>
      </c>
      <c r="O84" s="74">
        <v>7740</v>
      </c>
      <c r="P84" s="80">
        <f t="shared" si="18"/>
        <v>89084</v>
      </c>
      <c r="Q84"/>
    </row>
    <row r="85" spans="1:17" ht="12.75" hidden="1" customHeight="1" thickBot="1" x14ac:dyDescent="0.3">
      <c r="B85" s="394"/>
      <c r="C85" s="183" t="s">
        <v>0</v>
      </c>
      <c r="D85" s="43">
        <f t="shared" ref="D85:P85" si="19">SUM(D79:D84)</f>
        <v>18291</v>
      </c>
      <c r="E85" s="43">
        <f t="shared" si="19"/>
        <v>17915</v>
      </c>
      <c r="F85" s="43">
        <f t="shared" si="19"/>
        <v>23982</v>
      </c>
      <c r="G85" s="43">
        <f t="shared" si="19"/>
        <v>24216</v>
      </c>
      <c r="H85" s="43">
        <f t="shared" si="19"/>
        <v>19723</v>
      </c>
      <c r="I85" s="43">
        <f t="shared" si="19"/>
        <v>21630</v>
      </c>
      <c r="J85" s="43">
        <f t="shared" si="19"/>
        <v>14374</v>
      </c>
      <c r="K85" s="43">
        <f t="shared" si="19"/>
        <v>12840</v>
      </c>
      <c r="L85" s="43">
        <f t="shared" si="19"/>
        <v>13477</v>
      </c>
      <c r="M85" s="43">
        <f t="shared" si="19"/>
        <v>18978</v>
      </c>
      <c r="N85" s="43">
        <f>SUM(N79:N84)</f>
        <v>17551</v>
      </c>
      <c r="O85" s="43">
        <f t="shared" si="19"/>
        <v>20764</v>
      </c>
      <c r="P85" s="44">
        <f t="shared" si="19"/>
        <v>223741</v>
      </c>
      <c r="Q85"/>
    </row>
    <row r="86" spans="1:17" ht="12.75" hidden="1" customHeight="1" x14ac:dyDescent="0.25">
      <c r="B86" s="395" t="s">
        <v>45</v>
      </c>
      <c r="C86" s="177" t="s">
        <v>184</v>
      </c>
      <c r="D86" s="39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208</v>
      </c>
      <c r="M86" s="40">
        <v>2506</v>
      </c>
      <c r="N86" s="40">
        <v>3965</v>
      </c>
      <c r="O86" s="40">
        <v>4127</v>
      </c>
      <c r="P86" s="31">
        <f>SUM(D86:O86)</f>
        <v>10806</v>
      </c>
      <c r="Q86"/>
    </row>
    <row r="87" spans="1:17" ht="12.75" hidden="1" customHeight="1" x14ac:dyDescent="0.25">
      <c r="B87" s="396"/>
      <c r="C87" s="179" t="s">
        <v>138</v>
      </c>
      <c r="D87" s="29">
        <v>1069</v>
      </c>
      <c r="E87" s="30">
        <v>1099</v>
      </c>
      <c r="F87" s="30">
        <v>1441</v>
      </c>
      <c r="G87" s="30">
        <v>1224</v>
      </c>
      <c r="H87" s="30">
        <v>1001</v>
      </c>
      <c r="I87" s="30">
        <v>1418</v>
      </c>
      <c r="J87" s="30">
        <v>754</v>
      </c>
      <c r="K87" s="30">
        <v>965</v>
      </c>
      <c r="L87" s="30">
        <v>1163</v>
      </c>
      <c r="M87" s="30">
        <v>1003</v>
      </c>
      <c r="N87" s="30">
        <v>1194</v>
      </c>
      <c r="O87" s="30">
        <v>1165</v>
      </c>
      <c r="P87" s="31">
        <f>SUM(D87:O87)</f>
        <v>13496</v>
      </c>
      <c r="Q87"/>
    </row>
    <row r="88" spans="1:17" ht="12.75" hidden="1" customHeight="1" x14ac:dyDescent="0.25">
      <c r="B88" s="396"/>
      <c r="C88" s="184" t="s">
        <v>114</v>
      </c>
      <c r="D88" s="25">
        <v>1196</v>
      </c>
      <c r="E88" s="26">
        <v>1266</v>
      </c>
      <c r="F88" s="26">
        <v>2175</v>
      </c>
      <c r="G88" s="26">
        <v>1494</v>
      </c>
      <c r="H88" s="26">
        <v>798</v>
      </c>
      <c r="I88" s="26">
        <v>639</v>
      </c>
      <c r="J88" s="26">
        <v>699</v>
      </c>
      <c r="K88" s="26">
        <v>882</v>
      </c>
      <c r="L88" s="26">
        <v>347</v>
      </c>
      <c r="M88" s="26">
        <v>975</v>
      </c>
      <c r="N88" s="26">
        <v>595</v>
      </c>
      <c r="O88" s="26">
        <v>1178</v>
      </c>
      <c r="P88" s="27">
        <f t="shared" ref="P88:P93" si="20">SUM(D88:O88)</f>
        <v>12244</v>
      </c>
      <c r="Q88"/>
    </row>
    <row r="89" spans="1:17" ht="12.75" hidden="1" customHeight="1" x14ac:dyDescent="0.25">
      <c r="A89"/>
      <c r="B89" s="396"/>
      <c r="C89" s="184" t="s">
        <v>60</v>
      </c>
      <c r="D89" s="25">
        <v>6733</v>
      </c>
      <c r="E89" s="26">
        <v>5869</v>
      </c>
      <c r="F89" s="26">
        <v>4985</v>
      </c>
      <c r="G89" s="26">
        <v>4478</v>
      </c>
      <c r="H89" s="26">
        <v>2988</v>
      </c>
      <c r="I89" s="26">
        <v>3338</v>
      </c>
      <c r="J89" s="26">
        <v>3972</v>
      </c>
      <c r="K89" s="26">
        <v>3821</v>
      </c>
      <c r="L89" s="26">
        <v>2093</v>
      </c>
      <c r="M89" s="26">
        <v>2911</v>
      </c>
      <c r="N89" s="26">
        <v>3861</v>
      </c>
      <c r="O89" s="26">
        <v>3327</v>
      </c>
      <c r="P89" s="27">
        <f t="shared" si="20"/>
        <v>48376</v>
      </c>
      <c r="Q89"/>
    </row>
    <row r="90" spans="1:17" ht="12.75" hidden="1" customHeight="1" x14ac:dyDescent="0.25">
      <c r="A90"/>
      <c r="B90" s="396"/>
      <c r="C90" s="184" t="s">
        <v>171</v>
      </c>
      <c r="D90" s="25">
        <v>0</v>
      </c>
      <c r="E90" s="26">
        <v>0</v>
      </c>
      <c r="F90" s="26">
        <v>0</v>
      </c>
      <c r="G90" s="26">
        <v>114</v>
      </c>
      <c r="H90" s="26">
        <v>1919</v>
      </c>
      <c r="I90" s="26">
        <v>3667</v>
      </c>
      <c r="J90" s="26">
        <v>3447</v>
      </c>
      <c r="K90" s="26">
        <v>3337</v>
      </c>
      <c r="L90" s="26">
        <v>2983</v>
      </c>
      <c r="M90" s="26">
        <v>3783</v>
      </c>
      <c r="N90" s="26">
        <v>2228</v>
      </c>
      <c r="O90" s="26">
        <v>1193</v>
      </c>
      <c r="P90" s="31">
        <f t="shared" si="20"/>
        <v>22671</v>
      </c>
      <c r="Q90"/>
    </row>
    <row r="91" spans="1:17" ht="12.75" hidden="1" customHeight="1" x14ac:dyDescent="0.25">
      <c r="A91"/>
      <c r="B91" s="396"/>
      <c r="C91" s="184" t="s">
        <v>125</v>
      </c>
      <c r="D91" s="25">
        <v>142</v>
      </c>
      <c r="E91" s="26">
        <v>568</v>
      </c>
      <c r="F91" s="26">
        <v>934</v>
      </c>
      <c r="G91" s="26">
        <v>1265</v>
      </c>
      <c r="H91" s="26">
        <v>756</v>
      </c>
      <c r="I91" s="26">
        <v>751</v>
      </c>
      <c r="J91" s="26">
        <v>490</v>
      </c>
      <c r="K91" s="26">
        <v>556</v>
      </c>
      <c r="L91" s="26">
        <v>939</v>
      </c>
      <c r="M91" s="26">
        <v>940</v>
      </c>
      <c r="N91" s="26">
        <v>865</v>
      </c>
      <c r="O91" s="26">
        <v>296</v>
      </c>
      <c r="P91" s="200">
        <f t="shared" si="20"/>
        <v>8502</v>
      </c>
      <c r="Q91"/>
    </row>
    <row r="92" spans="1:17" ht="12.75" hidden="1" customHeight="1" x14ac:dyDescent="0.25">
      <c r="A92"/>
      <c r="B92" s="396"/>
      <c r="C92" s="179" t="s">
        <v>8</v>
      </c>
      <c r="D92" s="29">
        <v>4313</v>
      </c>
      <c r="E92" s="30">
        <v>2781</v>
      </c>
      <c r="F92" s="30">
        <v>4274</v>
      </c>
      <c r="G92" s="30">
        <v>4096</v>
      </c>
      <c r="H92" s="30">
        <v>3479</v>
      </c>
      <c r="I92" s="30">
        <v>2780</v>
      </c>
      <c r="J92" s="30">
        <v>4452</v>
      </c>
      <c r="K92" s="30">
        <v>3322</v>
      </c>
      <c r="L92" s="30">
        <v>2189</v>
      </c>
      <c r="M92" s="30">
        <v>3494</v>
      </c>
      <c r="N92" s="30">
        <v>2895</v>
      </c>
      <c r="O92" s="30">
        <v>3525</v>
      </c>
      <c r="P92" s="80">
        <f t="shared" si="20"/>
        <v>41600</v>
      </c>
      <c r="Q92"/>
    </row>
    <row r="93" spans="1:17" ht="12.75" hidden="1" customHeight="1" x14ac:dyDescent="0.25">
      <c r="A93"/>
      <c r="B93" s="396"/>
      <c r="C93" s="179" t="s">
        <v>134</v>
      </c>
      <c r="D93" s="29">
        <v>3818</v>
      </c>
      <c r="E93" s="30">
        <v>4045</v>
      </c>
      <c r="F93" s="30">
        <v>5897</v>
      </c>
      <c r="G93" s="30">
        <v>5777</v>
      </c>
      <c r="H93" s="30">
        <v>5040</v>
      </c>
      <c r="I93" s="30">
        <v>4964</v>
      </c>
      <c r="J93" s="30">
        <v>4695</v>
      </c>
      <c r="K93" s="30">
        <v>4011</v>
      </c>
      <c r="L93" s="30">
        <v>3290</v>
      </c>
      <c r="M93" s="30">
        <v>2582</v>
      </c>
      <c r="N93" s="30">
        <v>4503</v>
      </c>
      <c r="O93" s="30">
        <v>3716</v>
      </c>
      <c r="P93" s="31">
        <f t="shared" si="20"/>
        <v>52338</v>
      </c>
      <c r="Q93"/>
    </row>
    <row r="94" spans="1:17" ht="12.75" hidden="1" customHeight="1" thickBot="1" x14ac:dyDescent="0.3">
      <c r="A94"/>
      <c r="B94" s="397"/>
      <c r="C94" s="185" t="s">
        <v>0</v>
      </c>
      <c r="D94" s="36">
        <f t="shared" ref="D94:P94" si="21">SUM(D86:D93)</f>
        <v>17271</v>
      </c>
      <c r="E94" s="36">
        <f t="shared" si="21"/>
        <v>15628</v>
      </c>
      <c r="F94" s="36">
        <f t="shared" si="21"/>
        <v>19706</v>
      </c>
      <c r="G94" s="36">
        <f t="shared" si="21"/>
        <v>18448</v>
      </c>
      <c r="H94" s="36">
        <f t="shared" si="21"/>
        <v>15981</v>
      </c>
      <c r="I94" s="36">
        <f t="shared" si="21"/>
        <v>17557</v>
      </c>
      <c r="J94" s="36">
        <f t="shared" si="21"/>
        <v>18509</v>
      </c>
      <c r="K94" s="36">
        <f t="shared" si="21"/>
        <v>16894</v>
      </c>
      <c r="L94" s="36">
        <f t="shared" si="21"/>
        <v>13212</v>
      </c>
      <c r="M94" s="36">
        <f t="shared" si="21"/>
        <v>18194</v>
      </c>
      <c r="N94" s="36">
        <f t="shared" si="21"/>
        <v>20106</v>
      </c>
      <c r="O94" s="36">
        <f t="shared" si="21"/>
        <v>18527</v>
      </c>
      <c r="P94" s="37">
        <f t="shared" si="21"/>
        <v>210033</v>
      </c>
      <c r="Q94"/>
    </row>
    <row r="95" spans="1:17" ht="12.75" hidden="1" customHeight="1" x14ac:dyDescent="0.25">
      <c r="A95"/>
      <c r="B95" s="392" t="s">
        <v>9</v>
      </c>
      <c r="C95" s="177" t="s">
        <v>11</v>
      </c>
      <c r="D95" s="39">
        <v>2290</v>
      </c>
      <c r="E95" s="40">
        <v>1368</v>
      </c>
      <c r="F95" s="40">
        <v>1891</v>
      </c>
      <c r="G95" s="40">
        <v>1200</v>
      </c>
      <c r="H95" s="40">
        <v>344</v>
      </c>
      <c r="I95" s="40">
        <v>99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1">
        <f>SUM(D95:O95)</f>
        <v>7192</v>
      </c>
      <c r="Q95"/>
    </row>
    <row r="96" spans="1:17" ht="12.75" hidden="1" customHeight="1" x14ac:dyDescent="0.25">
      <c r="A96"/>
      <c r="B96" s="393"/>
      <c r="C96" s="184" t="s">
        <v>172</v>
      </c>
      <c r="D96" s="25">
        <v>0</v>
      </c>
      <c r="E96" s="26">
        <v>0</v>
      </c>
      <c r="F96" s="26">
        <v>0</v>
      </c>
      <c r="G96" s="26">
        <v>158</v>
      </c>
      <c r="H96" s="26">
        <v>3232</v>
      </c>
      <c r="I96" s="26">
        <v>4304</v>
      </c>
      <c r="J96" s="26">
        <v>4018</v>
      </c>
      <c r="K96" s="26">
        <v>3563</v>
      </c>
      <c r="L96" s="26">
        <v>2903</v>
      </c>
      <c r="M96" s="26">
        <v>2775</v>
      </c>
      <c r="N96" s="26">
        <v>3031</v>
      </c>
      <c r="O96" s="26">
        <v>2256</v>
      </c>
      <c r="P96" s="27">
        <f>SUM(D96:O96)</f>
        <v>26240</v>
      </c>
      <c r="Q96"/>
    </row>
    <row r="97" spans="1:18" ht="12.75" hidden="1" customHeight="1" x14ac:dyDescent="0.25">
      <c r="A97"/>
      <c r="B97" s="393"/>
      <c r="C97" s="184" t="s">
        <v>12</v>
      </c>
      <c r="D97" s="25">
        <v>7952</v>
      </c>
      <c r="E97" s="26">
        <v>7626</v>
      </c>
      <c r="F97" s="26">
        <v>11213</v>
      </c>
      <c r="G97" s="26">
        <v>9182</v>
      </c>
      <c r="H97" s="26">
        <v>6930</v>
      </c>
      <c r="I97" s="26">
        <v>9208</v>
      </c>
      <c r="J97" s="26">
        <v>8804</v>
      </c>
      <c r="K97" s="26">
        <v>7424</v>
      </c>
      <c r="L97" s="26">
        <v>4916</v>
      </c>
      <c r="M97" s="26">
        <v>4042</v>
      </c>
      <c r="N97" s="26">
        <v>7288</v>
      </c>
      <c r="O97" s="26">
        <v>7633</v>
      </c>
      <c r="P97" s="27">
        <f>SUM(D97:O97)</f>
        <v>92218</v>
      </c>
      <c r="Q97"/>
    </row>
    <row r="98" spans="1:18" ht="12.75" hidden="1" customHeight="1" thickBot="1" x14ac:dyDescent="0.3">
      <c r="A98"/>
      <c r="B98" s="394"/>
      <c r="C98" s="183" t="s">
        <v>0</v>
      </c>
      <c r="D98" s="43">
        <f t="shared" ref="D98:L98" si="22">SUM(D95:D97)</f>
        <v>10242</v>
      </c>
      <c r="E98" s="43">
        <f t="shared" si="22"/>
        <v>8994</v>
      </c>
      <c r="F98" s="43">
        <f t="shared" si="22"/>
        <v>13104</v>
      </c>
      <c r="G98" s="43">
        <f t="shared" si="22"/>
        <v>10540</v>
      </c>
      <c r="H98" s="43">
        <f t="shared" si="22"/>
        <v>10506</v>
      </c>
      <c r="I98" s="43">
        <f t="shared" si="22"/>
        <v>13611</v>
      </c>
      <c r="J98" s="43">
        <f t="shared" si="22"/>
        <v>12822</v>
      </c>
      <c r="K98" s="43">
        <f t="shared" si="22"/>
        <v>10987</v>
      </c>
      <c r="L98" s="43">
        <f t="shared" si="22"/>
        <v>7819</v>
      </c>
      <c r="M98" s="43">
        <f>SUM(M95:M97)</f>
        <v>6817</v>
      </c>
      <c r="N98" s="43">
        <f>SUM(N95:N97)</f>
        <v>10319</v>
      </c>
      <c r="O98" s="43">
        <f>SUM(O95:O97)</f>
        <v>9889</v>
      </c>
      <c r="P98" s="44">
        <f>SUM(P95:P97)</f>
        <v>125650</v>
      </c>
      <c r="Q98"/>
    </row>
    <row r="99" spans="1:18" ht="12.75" hidden="1" customHeight="1" x14ac:dyDescent="0.25">
      <c r="A99"/>
      <c r="B99" s="392" t="s">
        <v>10</v>
      </c>
      <c r="C99" s="177" t="s">
        <v>13</v>
      </c>
      <c r="D99" s="39">
        <v>291</v>
      </c>
      <c r="E99" s="40">
        <v>475</v>
      </c>
      <c r="F99" s="40">
        <v>468</v>
      </c>
      <c r="G99" s="40">
        <v>557</v>
      </c>
      <c r="H99" s="40">
        <v>506</v>
      </c>
      <c r="I99" s="40">
        <f>211+46+177+70</f>
        <v>504</v>
      </c>
      <c r="J99" s="40">
        <v>381</v>
      </c>
      <c r="K99" s="40">
        <v>284</v>
      </c>
      <c r="L99" s="40">
        <v>367</v>
      </c>
      <c r="M99" s="40">
        <v>505</v>
      </c>
      <c r="N99" s="40">
        <v>572</v>
      </c>
      <c r="O99" s="40">
        <v>480</v>
      </c>
      <c r="P99" s="41">
        <f>SUM(D99:O99)</f>
        <v>5390</v>
      </c>
      <c r="Q99"/>
    </row>
    <row r="100" spans="1:18" ht="12.75" hidden="1" customHeight="1" x14ac:dyDescent="0.25">
      <c r="A100"/>
      <c r="B100" s="393"/>
      <c r="C100" s="184" t="s">
        <v>14</v>
      </c>
      <c r="D100" s="25">
        <v>1909</v>
      </c>
      <c r="E100" s="26">
        <v>1769</v>
      </c>
      <c r="F100" s="26">
        <v>2484</v>
      </c>
      <c r="G100" s="26">
        <v>2568</v>
      </c>
      <c r="H100" s="26">
        <v>2309</v>
      </c>
      <c r="I100" s="26">
        <f>916+440+400+444</f>
        <v>2200</v>
      </c>
      <c r="J100" s="26">
        <v>1820</v>
      </c>
      <c r="K100" s="26">
        <v>1722</v>
      </c>
      <c r="L100" s="26">
        <v>1349</v>
      </c>
      <c r="M100" s="26">
        <v>1791</v>
      </c>
      <c r="N100" s="26">
        <v>1767</v>
      </c>
      <c r="O100" s="26">
        <v>1580</v>
      </c>
      <c r="P100" s="27">
        <f>SUM(D100:O100)</f>
        <v>23268</v>
      </c>
      <c r="Q100"/>
    </row>
    <row r="101" spans="1:18" ht="12.75" hidden="1" customHeight="1" thickBot="1" x14ac:dyDescent="0.3">
      <c r="A101"/>
      <c r="B101" s="394"/>
      <c r="C101" s="183" t="s">
        <v>0</v>
      </c>
      <c r="D101" s="43">
        <f t="shared" ref="D101:I101" si="23">SUM(D99:D100)</f>
        <v>2200</v>
      </c>
      <c r="E101" s="43">
        <f t="shared" si="23"/>
        <v>2244</v>
      </c>
      <c r="F101" s="43">
        <f t="shared" si="23"/>
        <v>2952</v>
      </c>
      <c r="G101" s="43">
        <f t="shared" si="23"/>
        <v>3125</v>
      </c>
      <c r="H101" s="43">
        <f t="shared" si="23"/>
        <v>2815</v>
      </c>
      <c r="I101" s="43">
        <f t="shared" si="23"/>
        <v>2704</v>
      </c>
      <c r="J101" s="43">
        <f>SUM(J99:J100)</f>
        <v>2201</v>
      </c>
      <c r="K101" s="43">
        <f t="shared" ref="K101:P101" si="24">SUM(K99:K100)</f>
        <v>2006</v>
      </c>
      <c r="L101" s="43">
        <f t="shared" si="24"/>
        <v>1716</v>
      </c>
      <c r="M101" s="43">
        <f t="shared" si="24"/>
        <v>2296</v>
      </c>
      <c r="N101" s="43">
        <f t="shared" si="24"/>
        <v>2339</v>
      </c>
      <c r="O101" s="43">
        <f t="shared" si="24"/>
        <v>2060</v>
      </c>
      <c r="P101" s="44">
        <f t="shared" si="24"/>
        <v>28658</v>
      </c>
      <c r="Q101"/>
    </row>
    <row r="102" spans="1:18" ht="12.75" hidden="1" customHeight="1" x14ac:dyDescent="0.25">
      <c r="A102"/>
      <c r="B102" s="401" t="s">
        <v>4</v>
      </c>
      <c r="C102" s="186" t="s">
        <v>116</v>
      </c>
      <c r="D102" s="158">
        <v>1001</v>
      </c>
      <c r="E102" s="158">
        <v>297</v>
      </c>
      <c r="F102" s="158">
        <v>654</v>
      </c>
      <c r="G102" s="158">
        <v>625</v>
      </c>
      <c r="H102" s="158">
        <v>918</v>
      </c>
      <c r="I102" s="158">
        <v>942</v>
      </c>
      <c r="J102" s="158">
        <v>616</v>
      </c>
      <c r="K102" s="158">
        <v>580</v>
      </c>
      <c r="L102" s="158">
        <v>385</v>
      </c>
      <c r="M102" s="158">
        <v>372</v>
      </c>
      <c r="N102" s="158">
        <v>552</v>
      </c>
      <c r="O102" s="158">
        <v>487</v>
      </c>
      <c r="P102" s="159">
        <f t="shared" ref="P102:P107" si="25">SUM(D102:O102)</f>
        <v>7429</v>
      </c>
      <c r="Q102"/>
    </row>
    <row r="103" spans="1:18" ht="12.75" hidden="1" customHeight="1" x14ac:dyDescent="0.25">
      <c r="A103"/>
      <c r="B103" s="402"/>
      <c r="C103" s="187" t="s">
        <v>118</v>
      </c>
      <c r="D103" s="134">
        <v>5650</v>
      </c>
      <c r="E103" s="134">
        <v>2714</v>
      </c>
      <c r="F103" s="134">
        <v>5252</v>
      </c>
      <c r="G103" s="134">
        <v>6009</v>
      </c>
      <c r="H103" s="134">
        <v>5584</v>
      </c>
      <c r="I103" s="134">
        <v>5357</v>
      </c>
      <c r="J103" s="134">
        <v>5028</v>
      </c>
      <c r="K103" s="134">
        <v>3718</v>
      </c>
      <c r="L103" s="134">
        <v>3892</v>
      </c>
      <c r="M103" s="134">
        <v>6119</v>
      </c>
      <c r="N103" s="134">
        <v>3946</v>
      </c>
      <c r="O103" s="134">
        <v>6194</v>
      </c>
      <c r="P103" s="135">
        <f t="shared" si="25"/>
        <v>59463</v>
      </c>
      <c r="Q103"/>
    </row>
    <row r="104" spans="1:18" ht="12.75" hidden="1" customHeight="1" x14ac:dyDescent="0.25">
      <c r="A104"/>
      <c r="B104" s="402"/>
      <c r="C104" s="179" t="s">
        <v>132</v>
      </c>
      <c r="D104" s="29">
        <v>594</v>
      </c>
      <c r="E104" s="30">
        <v>434</v>
      </c>
      <c r="F104" s="30">
        <v>597</v>
      </c>
      <c r="G104" s="30">
        <v>774</v>
      </c>
      <c r="H104" s="30">
        <v>662</v>
      </c>
      <c r="I104" s="30">
        <v>398</v>
      </c>
      <c r="J104" s="30">
        <v>355</v>
      </c>
      <c r="K104" s="30">
        <v>203</v>
      </c>
      <c r="L104" s="30">
        <v>261</v>
      </c>
      <c r="M104" s="30">
        <v>270</v>
      </c>
      <c r="N104" s="30">
        <v>240</v>
      </c>
      <c r="O104" s="30">
        <v>301</v>
      </c>
      <c r="P104" s="31">
        <f t="shared" si="25"/>
        <v>5089</v>
      </c>
      <c r="Q104"/>
    </row>
    <row r="105" spans="1:18" ht="12.75" hidden="1" customHeight="1" x14ac:dyDescent="0.25">
      <c r="A105"/>
      <c r="B105" s="402"/>
      <c r="C105" s="179" t="s">
        <v>187</v>
      </c>
      <c r="D105" s="29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47</v>
      </c>
      <c r="N105" s="30">
        <v>406</v>
      </c>
      <c r="O105" s="30">
        <v>737</v>
      </c>
      <c r="P105" s="31">
        <f t="shared" si="25"/>
        <v>1190</v>
      </c>
      <c r="Q105"/>
    </row>
    <row r="106" spans="1:18" ht="12.75" hidden="1" customHeight="1" x14ac:dyDescent="0.25">
      <c r="A106"/>
      <c r="B106" s="402"/>
      <c r="C106" s="179" t="s">
        <v>162</v>
      </c>
      <c r="D106" s="29">
        <v>2287</v>
      </c>
      <c r="E106" s="30">
        <v>2686</v>
      </c>
      <c r="F106" s="30">
        <v>5093</v>
      </c>
      <c r="G106" s="30">
        <v>4161</v>
      </c>
      <c r="H106" s="30">
        <v>4336</v>
      </c>
      <c r="I106" s="30">
        <v>4138</v>
      </c>
      <c r="J106" s="30">
        <v>3792</v>
      </c>
      <c r="K106" s="30">
        <v>2575</v>
      </c>
      <c r="L106" s="30">
        <v>1805</v>
      </c>
      <c r="M106" s="30">
        <v>2892</v>
      </c>
      <c r="N106" s="30">
        <v>3379</v>
      </c>
      <c r="O106" s="30">
        <v>3850</v>
      </c>
      <c r="P106" s="31">
        <f t="shared" si="25"/>
        <v>40994</v>
      </c>
      <c r="Q106"/>
    </row>
    <row r="107" spans="1:18" ht="12.75" hidden="1" customHeight="1" x14ac:dyDescent="0.25">
      <c r="A107"/>
      <c r="B107" s="402"/>
      <c r="C107" s="179" t="s">
        <v>149</v>
      </c>
      <c r="D107" s="29">
        <v>1965</v>
      </c>
      <c r="E107" s="30">
        <v>1190</v>
      </c>
      <c r="F107" s="30">
        <v>2470</v>
      </c>
      <c r="G107" s="30">
        <v>2321</v>
      </c>
      <c r="H107" s="30">
        <v>1531</v>
      </c>
      <c r="I107" s="30">
        <v>2070</v>
      </c>
      <c r="J107" s="30">
        <v>2159</v>
      </c>
      <c r="K107" s="30">
        <v>1231</v>
      </c>
      <c r="L107" s="30">
        <v>1290</v>
      </c>
      <c r="M107" s="30">
        <v>1828</v>
      </c>
      <c r="N107" s="30">
        <v>3233</v>
      </c>
      <c r="O107" s="30">
        <v>3303</v>
      </c>
      <c r="P107" s="31">
        <f t="shared" si="25"/>
        <v>24591</v>
      </c>
      <c r="Q107"/>
    </row>
    <row r="108" spans="1:18" ht="12.75" hidden="1" customHeight="1" thickBot="1" x14ac:dyDescent="0.3">
      <c r="A108"/>
      <c r="B108" s="403"/>
      <c r="C108" s="42" t="s">
        <v>0</v>
      </c>
      <c r="D108" s="43">
        <f>SUM(D102:D107)</f>
        <v>11497</v>
      </c>
      <c r="E108" s="43">
        <f t="shared" ref="E108:P108" si="26">SUM(E102:E107)</f>
        <v>7321</v>
      </c>
      <c r="F108" s="43">
        <f t="shared" si="26"/>
        <v>14066</v>
      </c>
      <c r="G108" s="43">
        <f t="shared" si="26"/>
        <v>13890</v>
      </c>
      <c r="H108" s="43">
        <f t="shared" si="26"/>
        <v>13031</v>
      </c>
      <c r="I108" s="43">
        <f t="shared" si="26"/>
        <v>12905</v>
      </c>
      <c r="J108" s="43">
        <f t="shared" si="26"/>
        <v>11950</v>
      </c>
      <c r="K108" s="43">
        <f t="shared" si="26"/>
        <v>8307</v>
      </c>
      <c r="L108" s="43">
        <f t="shared" si="26"/>
        <v>7633</v>
      </c>
      <c r="M108" s="43">
        <f t="shared" si="26"/>
        <v>11528</v>
      </c>
      <c r="N108" s="43">
        <f t="shared" si="26"/>
        <v>11756</v>
      </c>
      <c r="O108" s="43">
        <f t="shared" si="26"/>
        <v>14872</v>
      </c>
      <c r="P108" s="43">
        <f t="shared" si="26"/>
        <v>138756</v>
      </c>
      <c r="Q108"/>
    </row>
    <row r="109" spans="1:18" ht="12.75" hidden="1" customHeight="1" thickBot="1" x14ac:dyDescent="0.3">
      <c r="A109"/>
      <c r="B109" s="404" t="s">
        <v>2</v>
      </c>
      <c r="C109" s="405"/>
      <c r="D109" s="45">
        <f t="shared" ref="D109:O109" si="27">D85+D94+D101+D98+D108</f>
        <v>59501</v>
      </c>
      <c r="E109" s="45">
        <f t="shared" si="27"/>
        <v>52102</v>
      </c>
      <c r="F109" s="45">
        <f t="shared" si="27"/>
        <v>73810</v>
      </c>
      <c r="G109" s="45">
        <f t="shared" si="27"/>
        <v>70219</v>
      </c>
      <c r="H109" s="45">
        <f t="shared" si="27"/>
        <v>62056</v>
      </c>
      <c r="I109" s="45">
        <f t="shared" si="27"/>
        <v>68407</v>
      </c>
      <c r="J109" s="45">
        <f t="shared" si="27"/>
        <v>59856</v>
      </c>
      <c r="K109" s="45">
        <f t="shared" si="27"/>
        <v>51034</v>
      </c>
      <c r="L109" s="45">
        <f t="shared" si="27"/>
        <v>43857</v>
      </c>
      <c r="M109" s="45">
        <f t="shared" si="27"/>
        <v>57813</v>
      </c>
      <c r="N109" s="45">
        <f t="shared" si="27"/>
        <v>62071</v>
      </c>
      <c r="O109" s="45">
        <f t="shared" si="27"/>
        <v>66112</v>
      </c>
      <c r="P109" s="45">
        <f>SUM(P85,P94,P108,P98,P101)</f>
        <v>726838</v>
      </c>
      <c r="Q109"/>
    </row>
    <row r="110" spans="1:18" ht="4.5" hidden="1" customHeight="1" x14ac:dyDescent="0.25">
      <c r="A110"/>
      <c r="J110" s="118"/>
      <c r="Q110"/>
    </row>
    <row r="111" spans="1:18" ht="9.6" hidden="1" customHeight="1" x14ac:dyDescent="0.25">
      <c r="A111"/>
      <c r="B111" s="84" t="s">
        <v>24</v>
      </c>
      <c r="C111" s="85"/>
      <c r="D111" s="86">
        <f t="shared" ref="D111:I111" si="28">SUM(D112:D113)</f>
        <v>6552</v>
      </c>
      <c r="E111" s="86">
        <f t="shared" si="28"/>
        <v>5124</v>
      </c>
      <c r="F111" s="86">
        <f t="shared" si="28"/>
        <v>8454</v>
      </c>
      <c r="G111" s="86">
        <f t="shared" si="28"/>
        <v>7422</v>
      </c>
      <c r="H111" s="86">
        <f t="shared" si="28"/>
        <v>6697</v>
      </c>
      <c r="I111" s="86">
        <f t="shared" si="28"/>
        <v>5973</v>
      </c>
      <c r="J111" s="86">
        <f>SUM(J112:J113,J114)</f>
        <v>5386</v>
      </c>
      <c r="K111" s="86">
        <f>SUM(K112:K114)</f>
        <v>4447</v>
      </c>
      <c r="L111" s="86">
        <f>SUM(L112:L114)</f>
        <v>5217</v>
      </c>
      <c r="M111" s="86">
        <f>SUM(M112:M114)</f>
        <v>3368</v>
      </c>
      <c r="N111" s="86">
        <f>SUM(N112:N114)</f>
        <v>5441</v>
      </c>
      <c r="O111" s="86">
        <f>SUM(O112:O114)</f>
        <v>6955</v>
      </c>
      <c r="P111" s="87">
        <f>SUM(D111:O111)</f>
        <v>71036</v>
      </c>
      <c r="R111" s="297"/>
    </row>
    <row r="112" spans="1:18" ht="9.75" hidden="1" customHeight="1" x14ac:dyDescent="0.25">
      <c r="A112"/>
      <c r="B112" s="88"/>
      <c r="C112" s="89" t="s">
        <v>154</v>
      </c>
      <c r="D112" s="102">
        <v>6104</v>
      </c>
      <c r="E112" s="102">
        <v>4725</v>
      </c>
      <c r="F112" s="90">
        <v>7681</v>
      </c>
      <c r="G112" s="103">
        <v>6666</v>
      </c>
      <c r="H112" s="90">
        <v>6168</v>
      </c>
      <c r="I112" s="100">
        <v>5167</v>
      </c>
      <c r="J112" s="101">
        <v>4692</v>
      </c>
      <c r="K112" s="93">
        <v>3950</v>
      </c>
      <c r="L112" s="93">
        <v>4352</v>
      </c>
      <c r="M112" s="93">
        <v>2978</v>
      </c>
      <c r="N112" s="93">
        <v>4847</v>
      </c>
      <c r="O112" s="93">
        <v>5969</v>
      </c>
      <c r="P112" s="91">
        <f>SUM(D112:O112)</f>
        <v>63299</v>
      </c>
    </row>
    <row r="113" spans="1:17" ht="9.75" hidden="1" customHeight="1" x14ac:dyDescent="0.25">
      <c r="A113"/>
      <c r="B113" s="88"/>
      <c r="C113" s="89" t="s">
        <v>155</v>
      </c>
      <c r="D113" s="90">
        <v>448</v>
      </c>
      <c r="E113" s="90">
        <v>399</v>
      </c>
      <c r="F113" s="90">
        <v>773</v>
      </c>
      <c r="G113" s="90">
        <v>756</v>
      </c>
      <c r="H113" s="90">
        <v>529</v>
      </c>
      <c r="I113" s="90">
        <v>806</v>
      </c>
      <c r="J113" s="90">
        <v>665</v>
      </c>
      <c r="K113" s="90">
        <v>385</v>
      </c>
      <c r="L113" s="90">
        <v>325</v>
      </c>
      <c r="M113" s="90">
        <v>227</v>
      </c>
      <c r="N113" s="90">
        <v>501</v>
      </c>
      <c r="O113" s="90">
        <v>798</v>
      </c>
      <c r="P113" s="91">
        <f>SUM(D113:O113)</f>
        <v>6612</v>
      </c>
    </row>
    <row r="114" spans="1:17" ht="9.75" hidden="1" customHeight="1" x14ac:dyDescent="0.25">
      <c r="A114"/>
      <c r="B114" s="92"/>
      <c r="C114" s="89" t="s">
        <v>177</v>
      </c>
      <c r="D114" s="90">
        <v>0</v>
      </c>
      <c r="E114" s="90">
        <v>0</v>
      </c>
      <c r="F114" s="90">
        <v>0</v>
      </c>
      <c r="G114" s="90">
        <v>0</v>
      </c>
      <c r="H114" s="90">
        <v>0</v>
      </c>
      <c r="I114" s="90">
        <v>0</v>
      </c>
      <c r="J114" s="90">
        <v>29</v>
      </c>
      <c r="K114" s="90">
        <v>112</v>
      </c>
      <c r="L114" s="90">
        <v>540</v>
      </c>
      <c r="M114" s="90">
        <v>163</v>
      </c>
      <c r="N114" s="90">
        <v>93</v>
      </c>
      <c r="O114" s="90">
        <v>188</v>
      </c>
      <c r="P114" s="91">
        <f>SUM(D114:O114)</f>
        <v>1125</v>
      </c>
    </row>
    <row r="115" spans="1:17" ht="4.5" hidden="1" customHeight="1" x14ac:dyDescent="0.25">
      <c r="A115"/>
      <c r="J115" s="118"/>
      <c r="Q115"/>
    </row>
    <row r="116" spans="1:17" ht="10.199999999999999" hidden="1" customHeight="1" x14ac:dyDescent="0.25">
      <c r="A116"/>
      <c r="B116" s="95" t="s">
        <v>25</v>
      </c>
      <c r="C116" s="96"/>
      <c r="D116" s="86">
        <f t="shared" ref="D116:O116" si="29">SUM(D117:D119)</f>
        <v>3612</v>
      </c>
      <c r="E116" s="86">
        <f t="shared" si="29"/>
        <v>4186</v>
      </c>
      <c r="F116" s="86">
        <f t="shared" si="29"/>
        <v>6233</v>
      </c>
      <c r="G116" s="86">
        <f t="shared" si="29"/>
        <v>7068</v>
      </c>
      <c r="H116" s="86">
        <f t="shared" si="29"/>
        <v>5131</v>
      </c>
      <c r="I116" s="86">
        <f t="shared" si="29"/>
        <v>6127</v>
      </c>
      <c r="J116" s="86">
        <f t="shared" si="29"/>
        <v>3712</v>
      </c>
      <c r="K116" s="86">
        <f t="shared" si="29"/>
        <v>4686</v>
      </c>
      <c r="L116" s="86">
        <f t="shared" si="29"/>
        <v>5003</v>
      </c>
      <c r="M116" s="86">
        <f t="shared" si="29"/>
        <v>6136</v>
      </c>
      <c r="N116" s="86">
        <f t="shared" si="29"/>
        <v>5179</v>
      </c>
      <c r="O116" s="86">
        <f t="shared" si="29"/>
        <v>6036</v>
      </c>
      <c r="P116" s="86">
        <f>SUM(D116:O116)</f>
        <v>63109</v>
      </c>
    </row>
    <row r="117" spans="1:17" ht="9.9" hidden="1" customHeight="1" x14ac:dyDescent="0.25">
      <c r="A117"/>
      <c r="B117" s="88"/>
      <c r="C117" s="89" t="s">
        <v>53</v>
      </c>
      <c r="D117" s="125">
        <v>1118</v>
      </c>
      <c r="E117" s="125">
        <v>1254</v>
      </c>
      <c r="F117" s="125">
        <v>2006</v>
      </c>
      <c r="G117" s="90">
        <v>1928</v>
      </c>
      <c r="H117" s="90">
        <v>1078</v>
      </c>
      <c r="I117" s="90">
        <v>2353</v>
      </c>
      <c r="J117" s="90">
        <v>827</v>
      </c>
      <c r="K117" s="90">
        <v>850</v>
      </c>
      <c r="L117" s="90">
        <v>1428</v>
      </c>
      <c r="M117" s="90">
        <v>2116</v>
      </c>
      <c r="N117" s="90">
        <v>330</v>
      </c>
      <c r="O117" s="90">
        <v>1988</v>
      </c>
      <c r="P117" s="91">
        <f>SUM(D117:O117)</f>
        <v>17276</v>
      </c>
    </row>
    <row r="118" spans="1:17" ht="9.9" hidden="1" customHeight="1" x14ac:dyDescent="0.25">
      <c r="A118"/>
      <c r="B118" s="88"/>
      <c r="C118" s="89" t="s">
        <v>137</v>
      </c>
      <c r="D118" s="90">
        <v>2114</v>
      </c>
      <c r="E118" s="90">
        <v>2316</v>
      </c>
      <c r="F118" s="90">
        <v>3806</v>
      </c>
      <c r="G118" s="90">
        <v>4598</v>
      </c>
      <c r="H118" s="90">
        <v>3538</v>
      </c>
      <c r="I118" s="90">
        <v>3112</v>
      </c>
      <c r="J118" s="90">
        <v>2348</v>
      </c>
      <c r="K118" s="90">
        <v>3173</v>
      </c>
      <c r="L118" s="90">
        <v>3063</v>
      </c>
      <c r="M118" s="90">
        <v>3394</v>
      </c>
      <c r="N118" s="90">
        <v>3794</v>
      </c>
      <c r="O118" s="90">
        <v>3141</v>
      </c>
      <c r="P118" s="91">
        <f>SUM(D118:O118)</f>
        <v>38397</v>
      </c>
    </row>
    <row r="119" spans="1:17" ht="9.9" hidden="1" customHeight="1" x14ac:dyDescent="0.25">
      <c r="A119"/>
      <c r="B119" s="92"/>
      <c r="C119" s="89" t="s">
        <v>140</v>
      </c>
      <c r="D119" s="90">
        <v>380</v>
      </c>
      <c r="E119" s="90">
        <v>616</v>
      </c>
      <c r="F119" s="90">
        <v>421</v>
      </c>
      <c r="G119" s="90">
        <v>542</v>
      </c>
      <c r="H119" s="90">
        <v>515</v>
      </c>
      <c r="I119" s="90">
        <v>662</v>
      </c>
      <c r="J119" s="90">
        <v>537</v>
      </c>
      <c r="K119" s="90">
        <v>663</v>
      </c>
      <c r="L119" s="90">
        <v>512</v>
      </c>
      <c r="M119" s="90">
        <v>626</v>
      </c>
      <c r="N119" s="90">
        <v>1055</v>
      </c>
      <c r="O119" s="90">
        <v>907</v>
      </c>
      <c r="P119" s="91">
        <f>SUM(D119:O119)</f>
        <v>7436</v>
      </c>
    </row>
    <row r="120" spans="1:17" ht="6" hidden="1" customHeight="1" x14ac:dyDescent="0.25">
      <c r="A120"/>
      <c r="B120" s="104"/>
      <c r="C120" s="97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9"/>
    </row>
    <row r="121" spans="1:17" ht="11.4" hidden="1" customHeight="1" x14ac:dyDescent="0.25">
      <c r="A121"/>
      <c r="B121" s="84" t="s">
        <v>27</v>
      </c>
      <c r="C121" s="85"/>
      <c r="D121" s="86">
        <f t="shared" ref="D121:O121" si="30">SUM(D122:D123)</f>
        <v>8081</v>
      </c>
      <c r="E121" s="86">
        <f t="shared" si="30"/>
        <v>8563</v>
      </c>
      <c r="F121" s="86">
        <f t="shared" si="30"/>
        <v>9217</v>
      </c>
      <c r="G121" s="86">
        <f t="shared" si="30"/>
        <v>9684</v>
      </c>
      <c r="H121" s="86">
        <f t="shared" si="30"/>
        <v>7802</v>
      </c>
      <c r="I121" s="86">
        <f t="shared" si="30"/>
        <v>9483</v>
      </c>
      <c r="J121" s="86">
        <f t="shared" si="30"/>
        <v>5247</v>
      </c>
      <c r="K121" s="86">
        <f t="shared" si="30"/>
        <v>3685</v>
      </c>
      <c r="L121" s="86">
        <f t="shared" si="30"/>
        <v>3216</v>
      </c>
      <c r="M121" s="86">
        <f t="shared" si="30"/>
        <v>9448</v>
      </c>
      <c r="N121" s="86">
        <f t="shared" si="30"/>
        <v>6918</v>
      </c>
      <c r="O121" s="86">
        <f t="shared" si="30"/>
        <v>7740</v>
      </c>
      <c r="P121" s="86">
        <f>SUM(D121:O121)</f>
        <v>89084</v>
      </c>
    </row>
    <row r="122" spans="1:17" ht="9.75" hidden="1" customHeight="1" x14ac:dyDescent="0.25">
      <c r="A122"/>
      <c r="B122" s="88"/>
      <c r="C122" s="150" t="s">
        <v>80</v>
      </c>
      <c r="D122" s="151">
        <v>5844</v>
      </c>
      <c r="E122" s="151">
        <v>6155</v>
      </c>
      <c r="F122" s="152">
        <v>6588</v>
      </c>
      <c r="G122" s="153">
        <v>7293</v>
      </c>
      <c r="H122" s="152">
        <v>5769</v>
      </c>
      <c r="I122" s="154">
        <v>6830</v>
      </c>
      <c r="J122" s="154">
        <v>3936</v>
      </c>
      <c r="K122" s="152">
        <v>1968</v>
      </c>
      <c r="L122" s="152">
        <v>1293</v>
      </c>
      <c r="M122" s="152">
        <v>6311</v>
      </c>
      <c r="N122" s="152">
        <v>4582</v>
      </c>
      <c r="O122" s="152">
        <v>5538</v>
      </c>
      <c r="P122" s="155">
        <f>SUM(D122:O122)</f>
        <v>62107</v>
      </c>
    </row>
    <row r="123" spans="1:17" ht="9.75" hidden="1" customHeight="1" x14ac:dyDescent="0.25">
      <c r="A123"/>
      <c r="B123" s="92"/>
      <c r="C123" s="89" t="s">
        <v>141</v>
      </c>
      <c r="D123" s="102">
        <v>2237</v>
      </c>
      <c r="E123" s="102">
        <v>2408</v>
      </c>
      <c r="F123" s="90">
        <v>2629</v>
      </c>
      <c r="G123" s="103">
        <v>2391</v>
      </c>
      <c r="H123" s="90">
        <v>2033</v>
      </c>
      <c r="I123" s="100">
        <v>2653</v>
      </c>
      <c r="J123" s="101">
        <v>1311</v>
      </c>
      <c r="K123" s="93">
        <v>1717</v>
      </c>
      <c r="L123" s="93">
        <v>1923</v>
      </c>
      <c r="M123" s="93">
        <v>3137</v>
      </c>
      <c r="N123" s="93">
        <v>2336</v>
      </c>
      <c r="O123" s="93">
        <v>2202</v>
      </c>
      <c r="P123" s="91">
        <f>SUM(D123:O123)</f>
        <v>26977</v>
      </c>
    </row>
    <row r="124" spans="1:17" ht="6" hidden="1" customHeight="1" x14ac:dyDescent="0.25">
      <c r="A124"/>
      <c r="B124" s="104"/>
      <c r="C124" s="97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9"/>
    </row>
    <row r="125" spans="1:17" ht="9.9" hidden="1" customHeight="1" x14ac:dyDescent="0.25">
      <c r="B125" s="84" t="s">
        <v>114</v>
      </c>
      <c r="C125" s="85"/>
      <c r="D125" s="86">
        <f t="shared" ref="D125:O125" si="31">SUM(D126:D129)</f>
        <v>1196</v>
      </c>
      <c r="E125" s="86">
        <f t="shared" si="31"/>
        <v>1266</v>
      </c>
      <c r="F125" s="86">
        <f t="shared" si="31"/>
        <v>2175</v>
      </c>
      <c r="G125" s="86">
        <f t="shared" si="31"/>
        <v>1494</v>
      </c>
      <c r="H125" s="86">
        <f t="shared" si="31"/>
        <v>798</v>
      </c>
      <c r="I125" s="86">
        <f t="shared" si="31"/>
        <v>639</v>
      </c>
      <c r="J125" s="86">
        <f t="shared" si="31"/>
        <v>699</v>
      </c>
      <c r="K125" s="86">
        <f t="shared" si="31"/>
        <v>882</v>
      </c>
      <c r="L125" s="86">
        <f t="shared" si="31"/>
        <v>347</v>
      </c>
      <c r="M125" s="86">
        <f t="shared" si="31"/>
        <v>975</v>
      </c>
      <c r="N125" s="86">
        <f t="shared" si="31"/>
        <v>595</v>
      </c>
      <c r="O125" s="86">
        <f t="shared" si="31"/>
        <v>1178</v>
      </c>
      <c r="P125" s="87">
        <f>SUM(D125:O125)</f>
        <v>12244</v>
      </c>
    </row>
    <row r="126" spans="1:17" ht="9.9" hidden="1" customHeight="1" x14ac:dyDescent="0.25">
      <c r="B126" s="88"/>
      <c r="C126" s="89" t="s">
        <v>129</v>
      </c>
      <c r="D126" s="102">
        <v>911</v>
      </c>
      <c r="E126" s="102">
        <v>860</v>
      </c>
      <c r="F126" s="90">
        <v>1060</v>
      </c>
      <c r="G126" s="103">
        <v>839</v>
      </c>
      <c r="H126" s="90">
        <v>553</v>
      </c>
      <c r="I126" s="100">
        <v>522</v>
      </c>
      <c r="J126" s="101">
        <v>607</v>
      </c>
      <c r="K126" s="93">
        <v>718</v>
      </c>
      <c r="L126" s="93">
        <v>332</v>
      </c>
      <c r="M126" s="93">
        <v>648</v>
      </c>
      <c r="N126" s="93">
        <v>480</v>
      </c>
      <c r="O126" s="93">
        <v>912</v>
      </c>
      <c r="P126" s="91">
        <f>SUM(D126:O126)</f>
        <v>8442</v>
      </c>
    </row>
    <row r="127" spans="1:17" ht="9.9" hidden="1" customHeight="1" x14ac:dyDescent="0.25">
      <c r="B127" s="88"/>
      <c r="C127" s="89" t="s">
        <v>143</v>
      </c>
      <c r="D127" s="102">
        <v>277</v>
      </c>
      <c r="E127" s="102">
        <v>239</v>
      </c>
      <c r="F127" s="90">
        <v>306</v>
      </c>
      <c r="G127" s="103">
        <v>258</v>
      </c>
      <c r="H127" s="90">
        <v>197</v>
      </c>
      <c r="I127" s="100">
        <v>92</v>
      </c>
      <c r="J127" s="100">
        <v>90</v>
      </c>
      <c r="K127" s="90">
        <v>110</v>
      </c>
      <c r="L127" s="90">
        <v>4</v>
      </c>
      <c r="M127" s="90">
        <v>264</v>
      </c>
      <c r="N127" s="90">
        <v>52</v>
      </c>
      <c r="O127" s="90">
        <v>224</v>
      </c>
      <c r="P127" s="91">
        <f>SUM(D127:O127)</f>
        <v>2113</v>
      </c>
    </row>
    <row r="128" spans="1:17" ht="9.9" hidden="1" customHeight="1" x14ac:dyDescent="0.25">
      <c r="B128" s="88"/>
      <c r="C128" s="89" t="s">
        <v>144</v>
      </c>
      <c r="D128" s="102">
        <v>8</v>
      </c>
      <c r="E128" s="102">
        <v>167</v>
      </c>
      <c r="F128" s="90">
        <v>809</v>
      </c>
      <c r="G128" s="103">
        <v>397</v>
      </c>
      <c r="H128" s="90">
        <v>48</v>
      </c>
      <c r="I128" s="100">
        <v>0</v>
      </c>
      <c r="J128" s="100">
        <v>-1</v>
      </c>
      <c r="K128" s="90">
        <v>0</v>
      </c>
      <c r="L128" s="90">
        <v>0</v>
      </c>
      <c r="M128" s="90">
        <v>0</v>
      </c>
      <c r="N128" s="90">
        <v>0</v>
      </c>
      <c r="O128" s="90">
        <v>0</v>
      </c>
      <c r="P128" s="91">
        <f>SUM(D128:O128)</f>
        <v>1428</v>
      </c>
    </row>
    <row r="129" spans="1:17" ht="9.9" hidden="1" customHeight="1" x14ac:dyDescent="0.25">
      <c r="B129" s="92"/>
      <c r="C129" s="89" t="s">
        <v>177</v>
      </c>
      <c r="D129" s="102">
        <v>0</v>
      </c>
      <c r="E129" s="102">
        <v>0</v>
      </c>
      <c r="F129" s="90">
        <v>0</v>
      </c>
      <c r="G129" s="103">
        <v>0</v>
      </c>
      <c r="H129" s="90">
        <v>0</v>
      </c>
      <c r="I129" s="100">
        <v>25</v>
      </c>
      <c r="J129" s="100">
        <v>3</v>
      </c>
      <c r="K129" s="90">
        <v>54</v>
      </c>
      <c r="L129" s="90">
        <v>11</v>
      </c>
      <c r="M129" s="90">
        <v>63</v>
      </c>
      <c r="N129" s="90">
        <v>63</v>
      </c>
      <c r="O129" s="90">
        <v>42</v>
      </c>
      <c r="P129" s="91">
        <f>SUM(D129:O129)</f>
        <v>261</v>
      </c>
    </row>
    <row r="130" spans="1:17" s="210" customFormat="1" ht="6.6" hidden="1" customHeight="1" x14ac:dyDescent="0.25">
      <c r="A130" s="205"/>
      <c r="B130" s="104"/>
      <c r="C130" s="104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8"/>
      <c r="Q130" s="209"/>
    </row>
    <row r="131" spans="1:17" ht="9.9" hidden="1" customHeight="1" x14ac:dyDescent="0.25">
      <c r="B131" s="84" t="s">
        <v>60</v>
      </c>
      <c r="C131" s="85"/>
      <c r="D131" s="86">
        <f t="shared" ref="D131:O131" si="32">SUM(D132:D133)</f>
        <v>6733</v>
      </c>
      <c r="E131" s="86">
        <f t="shared" si="32"/>
        <v>5869</v>
      </c>
      <c r="F131" s="86">
        <f t="shared" si="32"/>
        <v>4985</v>
      </c>
      <c r="G131" s="86">
        <f t="shared" si="32"/>
        <v>4478</v>
      </c>
      <c r="H131" s="86">
        <f t="shared" si="32"/>
        <v>2988</v>
      </c>
      <c r="I131" s="86">
        <f t="shared" si="32"/>
        <v>3338</v>
      </c>
      <c r="J131" s="86">
        <f t="shared" si="32"/>
        <v>3972</v>
      </c>
      <c r="K131" s="86">
        <f t="shared" si="32"/>
        <v>3821</v>
      </c>
      <c r="L131" s="86">
        <f t="shared" si="32"/>
        <v>2093</v>
      </c>
      <c r="M131" s="86">
        <f t="shared" si="32"/>
        <v>2911</v>
      </c>
      <c r="N131" s="86">
        <f t="shared" si="32"/>
        <v>3861</v>
      </c>
      <c r="O131" s="86">
        <f t="shared" si="32"/>
        <v>3327</v>
      </c>
      <c r="P131" s="87">
        <f>SUM(D131:O131)</f>
        <v>48376</v>
      </c>
    </row>
    <row r="132" spans="1:17" ht="9.9" hidden="1" customHeight="1" x14ac:dyDescent="0.25">
      <c r="B132" s="88"/>
      <c r="C132" s="89" t="s">
        <v>157</v>
      </c>
      <c r="D132" s="102">
        <v>4415</v>
      </c>
      <c r="E132" s="102">
        <v>4209</v>
      </c>
      <c r="F132" s="90">
        <v>3380</v>
      </c>
      <c r="G132" s="103">
        <v>3330</v>
      </c>
      <c r="H132" s="90">
        <v>2167</v>
      </c>
      <c r="I132" s="100">
        <v>2471</v>
      </c>
      <c r="J132" s="100">
        <v>2689</v>
      </c>
      <c r="K132" s="90">
        <v>2542</v>
      </c>
      <c r="L132" s="90">
        <v>1567</v>
      </c>
      <c r="M132" s="90">
        <v>1776</v>
      </c>
      <c r="N132" s="90">
        <v>2052</v>
      </c>
      <c r="O132" s="90">
        <v>2206</v>
      </c>
      <c r="P132" s="91">
        <f>SUM(D132:O132)</f>
        <v>32804</v>
      </c>
    </row>
    <row r="133" spans="1:17" ht="9.9" hidden="1" customHeight="1" x14ac:dyDescent="0.25">
      <c r="B133" s="92"/>
      <c r="C133" s="89" t="s">
        <v>158</v>
      </c>
      <c r="D133" s="102">
        <v>2318</v>
      </c>
      <c r="E133" s="102">
        <v>1660</v>
      </c>
      <c r="F133" s="90">
        <v>1605</v>
      </c>
      <c r="G133" s="103">
        <v>1148</v>
      </c>
      <c r="H133" s="90">
        <v>821</v>
      </c>
      <c r="I133" s="100">
        <v>867</v>
      </c>
      <c r="J133" s="100">
        <v>1283</v>
      </c>
      <c r="K133" s="90">
        <v>1279</v>
      </c>
      <c r="L133" s="90">
        <v>526</v>
      </c>
      <c r="M133" s="90">
        <v>1135</v>
      </c>
      <c r="N133" s="90">
        <v>1809</v>
      </c>
      <c r="O133" s="90">
        <v>1121</v>
      </c>
      <c r="P133" s="91">
        <f>SUM(D133:O133)</f>
        <v>15572</v>
      </c>
    </row>
    <row r="134" spans="1:17" s="210" customFormat="1" ht="6.6" hidden="1" customHeight="1" x14ac:dyDescent="0.25">
      <c r="A134" s="205"/>
      <c r="B134" s="104"/>
      <c r="C134" s="104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8"/>
      <c r="Q134" s="209"/>
    </row>
    <row r="135" spans="1:17" ht="9.9" hidden="1" customHeight="1" x14ac:dyDescent="0.25">
      <c r="B135" s="84" t="s">
        <v>180</v>
      </c>
      <c r="C135" s="85"/>
      <c r="D135" s="286">
        <f t="shared" ref="D135:I135" si="33">SUM(D136,D137)</f>
        <v>4313</v>
      </c>
      <c r="E135" s="286">
        <f t="shared" si="33"/>
        <v>2781</v>
      </c>
      <c r="F135" s="286">
        <f t="shared" si="33"/>
        <v>4274</v>
      </c>
      <c r="G135" s="286">
        <f t="shared" si="33"/>
        <v>4096</v>
      </c>
      <c r="H135" s="286">
        <f t="shared" si="33"/>
        <v>3479</v>
      </c>
      <c r="I135" s="286">
        <f t="shared" si="33"/>
        <v>2780</v>
      </c>
      <c r="J135" s="86">
        <f t="shared" ref="J135:O135" si="34">SUM(J136:J137)</f>
        <v>4452</v>
      </c>
      <c r="K135" s="86">
        <f t="shared" si="34"/>
        <v>3322</v>
      </c>
      <c r="L135" s="86">
        <f t="shared" si="34"/>
        <v>2189</v>
      </c>
      <c r="M135" s="86">
        <f t="shared" si="34"/>
        <v>3494</v>
      </c>
      <c r="N135" s="86">
        <f t="shared" si="34"/>
        <v>2895</v>
      </c>
      <c r="O135" s="86">
        <f t="shared" si="34"/>
        <v>3525</v>
      </c>
      <c r="P135" s="87">
        <f>SUM(D135:O135)</f>
        <v>41600</v>
      </c>
    </row>
    <row r="136" spans="1:17" ht="9.9" hidden="1" customHeight="1" x14ac:dyDescent="0.25">
      <c r="B136" s="88"/>
      <c r="C136" s="89" t="s">
        <v>124</v>
      </c>
      <c r="D136" s="90">
        <v>4313</v>
      </c>
      <c r="E136" s="90">
        <v>2781</v>
      </c>
      <c r="F136" s="90">
        <v>4274</v>
      </c>
      <c r="G136" s="90">
        <v>4096</v>
      </c>
      <c r="H136" s="90">
        <v>3479</v>
      </c>
      <c r="I136" s="90">
        <v>2780</v>
      </c>
      <c r="J136" s="100">
        <v>2392</v>
      </c>
      <c r="K136" s="90">
        <v>1281</v>
      </c>
      <c r="L136" s="90">
        <v>853</v>
      </c>
      <c r="M136" s="90">
        <v>2151</v>
      </c>
      <c r="N136" s="90">
        <v>1478</v>
      </c>
      <c r="O136" s="90">
        <v>2016</v>
      </c>
      <c r="P136" s="292">
        <f>SUM(D136:O136)</f>
        <v>31894</v>
      </c>
    </row>
    <row r="137" spans="1:17" ht="9.9" hidden="1" customHeight="1" x14ac:dyDescent="0.25">
      <c r="B137" s="92"/>
      <c r="C137" s="89" t="s">
        <v>181</v>
      </c>
      <c r="D137" s="287">
        <v>0</v>
      </c>
      <c r="E137" s="287">
        <v>0</v>
      </c>
      <c r="F137" s="288">
        <v>0</v>
      </c>
      <c r="G137" s="289">
        <v>0</v>
      </c>
      <c r="H137" s="288">
        <v>0</v>
      </c>
      <c r="I137" s="290">
        <v>0</v>
      </c>
      <c r="J137" s="100">
        <v>2060</v>
      </c>
      <c r="K137" s="90">
        <v>2041</v>
      </c>
      <c r="L137" s="90">
        <v>1336</v>
      </c>
      <c r="M137" s="90">
        <v>1343</v>
      </c>
      <c r="N137" s="90">
        <v>1417</v>
      </c>
      <c r="O137" s="90">
        <v>1509</v>
      </c>
      <c r="P137" s="292">
        <f>SUM(D137:O137)</f>
        <v>9706</v>
      </c>
    </row>
    <row r="138" spans="1:17" s="210" customFormat="1" ht="7.2" hidden="1" customHeight="1" x14ac:dyDescent="0.25">
      <c r="A138" s="205"/>
      <c r="B138" s="104"/>
      <c r="C138" s="104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8"/>
      <c r="Q138" s="209"/>
    </row>
    <row r="139" spans="1:17" ht="10.199999999999999" hidden="1" customHeight="1" x14ac:dyDescent="0.25">
      <c r="B139" s="84" t="s">
        <v>118</v>
      </c>
      <c r="C139" s="85"/>
      <c r="D139" s="86">
        <f t="shared" ref="D139:O139" si="35">SUM(D140:D142)</f>
        <v>5650</v>
      </c>
      <c r="E139" s="86">
        <f t="shared" si="35"/>
        <v>2714</v>
      </c>
      <c r="F139" s="86">
        <f t="shared" si="35"/>
        <v>5252</v>
      </c>
      <c r="G139" s="86">
        <f t="shared" si="35"/>
        <v>6009</v>
      </c>
      <c r="H139" s="86">
        <f t="shared" si="35"/>
        <v>5584</v>
      </c>
      <c r="I139" s="86">
        <f t="shared" si="35"/>
        <v>5357</v>
      </c>
      <c r="J139" s="86">
        <f t="shared" si="35"/>
        <v>5028</v>
      </c>
      <c r="K139" s="86">
        <f t="shared" si="35"/>
        <v>3718</v>
      </c>
      <c r="L139" s="86">
        <f t="shared" si="35"/>
        <v>3892</v>
      </c>
      <c r="M139" s="86">
        <f t="shared" si="35"/>
        <v>6119</v>
      </c>
      <c r="N139" s="86">
        <f t="shared" si="35"/>
        <v>3946</v>
      </c>
      <c r="O139" s="86">
        <f t="shared" si="35"/>
        <v>6194</v>
      </c>
      <c r="P139" s="86">
        <f>SUM(D139:O139)</f>
        <v>59463</v>
      </c>
    </row>
    <row r="140" spans="1:17" ht="8.4" hidden="1" customHeight="1" x14ac:dyDescent="0.25">
      <c r="B140" s="88"/>
      <c r="C140" s="89" t="s">
        <v>151</v>
      </c>
      <c r="D140" s="102">
        <v>0</v>
      </c>
      <c r="E140" s="102">
        <v>0</v>
      </c>
      <c r="F140" s="90">
        <v>0</v>
      </c>
      <c r="G140" s="103">
        <v>-1</v>
      </c>
      <c r="H140" s="90">
        <v>0</v>
      </c>
      <c r="I140" s="100">
        <v>0</v>
      </c>
      <c r="J140" s="100">
        <v>0</v>
      </c>
      <c r="K140" s="90">
        <v>0</v>
      </c>
      <c r="L140" s="90">
        <v>0</v>
      </c>
      <c r="M140" s="90">
        <v>0</v>
      </c>
      <c r="N140" s="90">
        <v>0</v>
      </c>
      <c r="O140" s="90">
        <v>0</v>
      </c>
      <c r="P140" s="291">
        <f>SUM(D140:O140)</f>
        <v>-1</v>
      </c>
    </row>
    <row r="141" spans="1:17" ht="9.9" hidden="1" customHeight="1" x14ac:dyDescent="0.25">
      <c r="B141" s="88"/>
      <c r="C141" s="89" t="s">
        <v>152</v>
      </c>
      <c r="D141" s="102">
        <v>5650</v>
      </c>
      <c r="E141" s="102">
        <v>2714</v>
      </c>
      <c r="F141" s="102">
        <v>5252</v>
      </c>
      <c r="G141" s="102">
        <v>6010</v>
      </c>
      <c r="H141" s="102">
        <v>5584</v>
      </c>
      <c r="I141" s="102">
        <v>5357</v>
      </c>
      <c r="J141" s="102">
        <v>4993</v>
      </c>
      <c r="K141" s="102">
        <v>3576</v>
      </c>
      <c r="L141" s="102">
        <v>3757</v>
      </c>
      <c r="M141" s="102">
        <v>5583</v>
      </c>
      <c r="N141" s="93">
        <v>3671</v>
      </c>
      <c r="O141" s="93">
        <v>5964</v>
      </c>
      <c r="P141" s="291">
        <f>SUM(D141:O141)</f>
        <v>58111</v>
      </c>
    </row>
    <row r="142" spans="1:17" s="16" customFormat="1" ht="8.4" hidden="1" customHeight="1" x14ac:dyDescent="0.25">
      <c r="A142" s="20"/>
      <c r="B142" s="92"/>
      <c r="C142" s="89" t="s">
        <v>144</v>
      </c>
      <c r="D142" s="102">
        <v>0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35</v>
      </c>
      <c r="K142" s="102">
        <v>142</v>
      </c>
      <c r="L142" s="102">
        <v>135</v>
      </c>
      <c r="M142" s="102">
        <v>536</v>
      </c>
      <c r="N142" s="93">
        <v>275</v>
      </c>
      <c r="O142" s="93">
        <v>230</v>
      </c>
      <c r="P142" s="291">
        <f>SUM(D142:O142)</f>
        <v>1353</v>
      </c>
      <c r="Q142" s="115"/>
    </row>
    <row r="143" spans="1:17" ht="6.6" hidden="1" customHeight="1" x14ac:dyDescent="0.25">
      <c r="A143" s="193"/>
      <c r="B143" s="194"/>
      <c r="C143" s="194"/>
      <c r="D143" s="195"/>
      <c r="E143" s="195"/>
      <c r="F143" s="195"/>
      <c r="G143" s="195"/>
      <c r="H143" s="195"/>
      <c r="I143" s="195"/>
      <c r="J143" s="196"/>
      <c r="K143" s="196"/>
      <c r="L143" s="196"/>
      <c r="M143" s="196"/>
      <c r="N143" s="196"/>
      <c r="O143" s="196"/>
      <c r="P143" s="197"/>
    </row>
    <row r="144" spans="1:17" ht="10.199999999999999" hidden="1" customHeight="1" x14ac:dyDescent="0.25">
      <c r="B144" s="84" t="s">
        <v>12</v>
      </c>
      <c r="C144" s="85"/>
      <c r="D144" s="86">
        <f t="shared" ref="D144:O144" si="36">SUM(D145:D146)</f>
        <v>7952</v>
      </c>
      <c r="E144" s="86">
        <f t="shared" si="36"/>
        <v>7626</v>
      </c>
      <c r="F144" s="86">
        <f t="shared" si="36"/>
        <v>11213</v>
      </c>
      <c r="G144" s="86">
        <f t="shared" si="36"/>
        <v>9182</v>
      </c>
      <c r="H144" s="86">
        <f t="shared" si="36"/>
        <v>6930</v>
      </c>
      <c r="I144" s="86">
        <f t="shared" si="36"/>
        <v>9208</v>
      </c>
      <c r="J144" s="86">
        <f t="shared" si="36"/>
        <v>8804</v>
      </c>
      <c r="K144" s="86">
        <f t="shared" si="36"/>
        <v>7424</v>
      </c>
      <c r="L144" s="86">
        <f t="shared" si="36"/>
        <v>4916</v>
      </c>
      <c r="M144" s="86">
        <f t="shared" si="36"/>
        <v>4042</v>
      </c>
      <c r="N144" s="86">
        <f t="shared" si="36"/>
        <v>7288</v>
      </c>
      <c r="O144" s="86">
        <f t="shared" si="36"/>
        <v>7633</v>
      </c>
      <c r="P144" s="87">
        <f>SUM(D144:O144)</f>
        <v>92218</v>
      </c>
    </row>
    <row r="145" spans="1:17" ht="9" hidden="1" customHeight="1" x14ac:dyDescent="0.25">
      <c r="B145" s="88"/>
      <c r="C145" s="89" t="s">
        <v>12</v>
      </c>
      <c r="D145" s="102">
        <v>7896</v>
      </c>
      <c r="E145" s="102">
        <v>5731</v>
      </c>
      <c r="F145" s="90">
        <v>8751</v>
      </c>
      <c r="G145" s="103">
        <v>7607</v>
      </c>
      <c r="H145" s="90">
        <v>5918</v>
      </c>
      <c r="I145" s="100">
        <v>7654</v>
      </c>
      <c r="J145" s="100">
        <v>7396</v>
      </c>
      <c r="K145" s="90">
        <v>6217</v>
      </c>
      <c r="L145" s="90">
        <v>4259</v>
      </c>
      <c r="M145" s="90">
        <v>2726</v>
      </c>
      <c r="N145" s="90">
        <v>5769</v>
      </c>
      <c r="O145" s="90">
        <v>6489</v>
      </c>
      <c r="P145" s="91">
        <f>SUM(D145:O145)</f>
        <v>76413</v>
      </c>
      <c r="Q145"/>
    </row>
    <row r="146" spans="1:17" ht="8.4" hidden="1" customHeight="1" x14ac:dyDescent="0.25">
      <c r="B146" s="92"/>
      <c r="C146" s="89" t="s">
        <v>144</v>
      </c>
      <c r="D146" s="102">
        <v>56</v>
      </c>
      <c r="E146" s="102">
        <v>1895</v>
      </c>
      <c r="F146" s="102">
        <v>2462</v>
      </c>
      <c r="G146" s="102">
        <v>1575</v>
      </c>
      <c r="H146" s="102">
        <v>1012</v>
      </c>
      <c r="I146" s="102">
        <v>1554</v>
      </c>
      <c r="J146" s="102">
        <v>1408</v>
      </c>
      <c r="K146" s="102">
        <v>1207</v>
      </c>
      <c r="L146" s="102">
        <v>657</v>
      </c>
      <c r="M146" s="102">
        <v>1316</v>
      </c>
      <c r="N146" s="93">
        <v>1519</v>
      </c>
      <c r="O146" s="93">
        <v>1144</v>
      </c>
      <c r="P146" s="91">
        <f>SUM(D146:O146)</f>
        <v>15805</v>
      </c>
      <c r="Q146"/>
    </row>
    <row r="147" spans="1:17" ht="12.6" hidden="1" customHeight="1" x14ac:dyDescent="0.25">
      <c r="A147" s="16"/>
      <c r="B147" s="16"/>
      <c r="C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6"/>
      <c r="Q147"/>
    </row>
    <row r="148" spans="1:17" ht="12.75" hidden="1" customHeight="1" thickBot="1" x14ac:dyDescent="0.3">
      <c r="B148" s="18" t="s">
        <v>148</v>
      </c>
      <c r="C148" s="18"/>
      <c r="Q148"/>
    </row>
    <row r="149" spans="1:17" ht="12.75" hidden="1" customHeight="1" thickBot="1" x14ac:dyDescent="0.3">
      <c r="B149" s="390" t="s">
        <v>1</v>
      </c>
      <c r="C149" s="391"/>
      <c r="D149" s="21">
        <v>1</v>
      </c>
      <c r="E149" s="22">
        <v>2</v>
      </c>
      <c r="F149" s="22">
        <v>3</v>
      </c>
      <c r="G149" s="22">
        <v>4</v>
      </c>
      <c r="H149" s="22">
        <v>5</v>
      </c>
      <c r="I149" s="22">
        <v>6</v>
      </c>
      <c r="J149" s="22">
        <v>7</v>
      </c>
      <c r="K149" s="22">
        <v>8</v>
      </c>
      <c r="L149" s="22">
        <v>9</v>
      </c>
      <c r="M149" s="22">
        <v>10</v>
      </c>
      <c r="N149" s="22">
        <v>11</v>
      </c>
      <c r="O149" s="22">
        <v>12</v>
      </c>
      <c r="P149" s="23" t="s">
        <v>0</v>
      </c>
      <c r="Q149"/>
    </row>
    <row r="150" spans="1:17" ht="12.75" hidden="1" customHeight="1" x14ac:dyDescent="0.25">
      <c r="B150" s="398" t="s">
        <v>46</v>
      </c>
      <c r="C150" s="177" t="s">
        <v>21</v>
      </c>
      <c r="D150" s="39">
        <v>0</v>
      </c>
      <c r="E150" s="40">
        <v>0</v>
      </c>
      <c r="F150" s="39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/>
      <c r="N150" s="40"/>
      <c r="O150" s="40"/>
      <c r="P150" s="41">
        <f t="shared" ref="P150:P157" si="37">SUM(D150:O150)</f>
        <v>0</v>
      </c>
      <c r="Q150"/>
    </row>
    <row r="151" spans="1:17" ht="12.75" hidden="1" customHeight="1" x14ac:dyDescent="0.25">
      <c r="A151"/>
      <c r="B151" s="399"/>
      <c r="C151" s="178" t="s">
        <v>22</v>
      </c>
      <c r="D151" s="78">
        <f>31+55</f>
        <v>86</v>
      </c>
      <c r="E151" s="79">
        <f>88+52</f>
        <v>140</v>
      </c>
      <c r="F151" s="78">
        <f>101+88</f>
        <v>189</v>
      </c>
      <c r="G151" s="79">
        <f>116+112</f>
        <v>228</v>
      </c>
      <c r="H151" s="79">
        <f>142+85</f>
        <v>227</v>
      </c>
      <c r="I151" s="79">
        <f>174+267</f>
        <v>441</v>
      </c>
      <c r="J151" s="79">
        <v>262</v>
      </c>
      <c r="K151" s="79">
        <v>95</v>
      </c>
      <c r="L151" s="81">
        <v>298</v>
      </c>
      <c r="M151" s="79">
        <v>207</v>
      </c>
      <c r="N151" s="79">
        <v>99</v>
      </c>
      <c r="O151" s="79">
        <v>69</v>
      </c>
      <c r="P151" s="80">
        <f t="shared" si="37"/>
        <v>2341</v>
      </c>
      <c r="Q151"/>
    </row>
    <row r="152" spans="1:17" ht="12.75" hidden="1" customHeight="1" x14ac:dyDescent="0.25">
      <c r="A152"/>
      <c r="B152" s="399"/>
      <c r="C152" s="178" t="s">
        <v>24</v>
      </c>
      <c r="D152" s="78">
        <v>2638</v>
      </c>
      <c r="E152" s="78">
        <v>2575</v>
      </c>
      <c r="F152" s="78">
        <v>3886</v>
      </c>
      <c r="G152" s="78">
        <v>8249</v>
      </c>
      <c r="H152" s="78">
        <v>9382</v>
      </c>
      <c r="I152" s="78">
        <v>10875</v>
      </c>
      <c r="J152" s="78">
        <v>11037</v>
      </c>
      <c r="K152" s="78">
        <v>5792</v>
      </c>
      <c r="L152" s="78">
        <v>9136</v>
      </c>
      <c r="M152" s="78">
        <v>8316</v>
      </c>
      <c r="N152" s="78">
        <v>7477</v>
      </c>
      <c r="O152" s="78">
        <v>8368</v>
      </c>
      <c r="P152" s="31">
        <f t="shared" si="37"/>
        <v>87731</v>
      </c>
      <c r="Q152"/>
    </row>
    <row r="153" spans="1:17" ht="12.75" hidden="1" customHeight="1" x14ac:dyDescent="0.25">
      <c r="A153"/>
      <c r="B153" s="399"/>
      <c r="C153" s="178" t="s">
        <v>69</v>
      </c>
      <c r="D153" s="78">
        <v>164</v>
      </c>
      <c r="E153" s="78">
        <v>188</v>
      </c>
      <c r="F153" s="78">
        <f>409+276</f>
        <v>685</v>
      </c>
      <c r="G153" s="78">
        <v>555</v>
      </c>
      <c r="H153" s="78">
        <v>183</v>
      </c>
      <c r="I153" s="78">
        <v>280</v>
      </c>
      <c r="J153" s="78">
        <v>268</v>
      </c>
      <c r="K153" s="78">
        <v>264</v>
      </c>
      <c r="L153" s="78">
        <v>233</v>
      </c>
      <c r="M153" s="78">
        <v>234</v>
      </c>
      <c r="N153" s="78">
        <v>540</v>
      </c>
      <c r="O153" s="78">
        <v>21</v>
      </c>
      <c r="P153" s="27">
        <f t="shared" si="37"/>
        <v>3615</v>
      </c>
      <c r="Q153"/>
    </row>
    <row r="154" spans="1:17" ht="12.75" hidden="1" customHeight="1" x14ac:dyDescent="0.25">
      <c r="A154"/>
      <c r="B154" s="399"/>
      <c r="C154" s="179" t="s">
        <v>3</v>
      </c>
      <c r="D154" s="29">
        <v>30</v>
      </c>
      <c r="E154" s="30">
        <v>32</v>
      </c>
      <c r="F154" s="29">
        <v>67</v>
      </c>
      <c r="G154" s="30">
        <v>45</v>
      </c>
      <c r="H154" s="30">
        <v>45</v>
      </c>
      <c r="I154" s="30">
        <v>59</v>
      </c>
      <c r="J154" s="30">
        <v>48</v>
      </c>
      <c r="K154" s="30">
        <v>66</v>
      </c>
      <c r="L154" s="32">
        <v>70</v>
      </c>
      <c r="M154" s="30">
        <v>37</v>
      </c>
      <c r="N154" s="30">
        <v>2</v>
      </c>
      <c r="O154" s="30">
        <v>-1</v>
      </c>
      <c r="P154" s="80">
        <f t="shared" si="37"/>
        <v>500</v>
      </c>
      <c r="Q154"/>
    </row>
    <row r="155" spans="1:17" ht="12.75" hidden="1" customHeight="1" x14ac:dyDescent="0.25">
      <c r="A155"/>
      <c r="B155" s="399"/>
      <c r="C155" s="180" t="s">
        <v>25</v>
      </c>
      <c r="D155" s="76">
        <v>6423</v>
      </c>
      <c r="E155" s="76">
        <v>5022</v>
      </c>
      <c r="F155" s="76">
        <f>1729+4804+720</f>
        <v>7253</v>
      </c>
      <c r="G155" s="76">
        <v>5385</v>
      </c>
      <c r="H155" s="76">
        <v>5827</v>
      </c>
      <c r="I155" s="76">
        <v>8063</v>
      </c>
      <c r="J155" s="76">
        <v>5213</v>
      </c>
      <c r="K155" s="76">
        <v>4595</v>
      </c>
      <c r="L155" s="76">
        <v>4589</v>
      </c>
      <c r="M155" s="76">
        <v>5670</v>
      </c>
      <c r="N155" s="76">
        <v>5038</v>
      </c>
      <c r="O155" s="76">
        <v>4362</v>
      </c>
      <c r="P155" s="80">
        <f t="shared" si="37"/>
        <v>67440</v>
      </c>
      <c r="Q155"/>
    </row>
    <row r="156" spans="1:17" ht="12.75" hidden="1" customHeight="1" x14ac:dyDescent="0.25">
      <c r="A156"/>
      <c r="B156" s="399"/>
      <c r="C156" s="180" t="s">
        <v>44</v>
      </c>
      <c r="D156" s="76">
        <v>0</v>
      </c>
      <c r="E156" s="76">
        <v>0</v>
      </c>
      <c r="F156" s="76">
        <v>0</v>
      </c>
      <c r="G156" s="76">
        <v>0</v>
      </c>
      <c r="H156" s="76">
        <v>0</v>
      </c>
      <c r="I156" s="76">
        <v>0</v>
      </c>
      <c r="J156" s="76">
        <v>0</v>
      </c>
      <c r="K156" s="76">
        <v>0</v>
      </c>
      <c r="L156" s="76">
        <v>0</v>
      </c>
      <c r="M156" s="76"/>
      <c r="N156" s="76"/>
      <c r="O156" s="76"/>
      <c r="P156" s="80">
        <f t="shared" si="37"/>
        <v>0</v>
      </c>
      <c r="Q156"/>
    </row>
    <row r="157" spans="1:17" ht="12.75" hidden="1" customHeight="1" x14ac:dyDescent="0.25">
      <c r="A157"/>
      <c r="B157" s="399"/>
      <c r="C157" s="181" t="s">
        <v>27</v>
      </c>
      <c r="D157" s="74">
        <v>9350</v>
      </c>
      <c r="E157" s="74">
        <v>7550</v>
      </c>
      <c r="F157" s="74">
        <f>13568+3032</f>
        <v>16600</v>
      </c>
      <c r="G157" s="74">
        <v>15000</v>
      </c>
      <c r="H157" s="74">
        <v>13416</v>
      </c>
      <c r="I157" s="74">
        <v>15688</v>
      </c>
      <c r="J157" s="74">
        <v>14381</v>
      </c>
      <c r="K157" s="74">
        <v>10235</v>
      </c>
      <c r="L157" s="74">
        <v>11590</v>
      </c>
      <c r="M157" s="74">
        <v>10926</v>
      </c>
      <c r="N157" s="74">
        <v>11648</v>
      </c>
      <c r="O157" s="74">
        <v>9079</v>
      </c>
      <c r="P157" s="80">
        <f t="shared" si="37"/>
        <v>145463</v>
      </c>
      <c r="Q157"/>
    </row>
    <row r="158" spans="1:17" ht="12.75" hidden="1" customHeight="1" thickBot="1" x14ac:dyDescent="0.3">
      <c r="A158"/>
      <c r="B158" s="394"/>
      <c r="C158" s="183" t="s">
        <v>0</v>
      </c>
      <c r="D158" s="43">
        <f t="shared" ref="D158:O158" si="38">SUM(D150:D157)</f>
        <v>18691</v>
      </c>
      <c r="E158" s="43">
        <f t="shared" si="38"/>
        <v>15507</v>
      </c>
      <c r="F158" s="43">
        <f t="shared" si="38"/>
        <v>28680</v>
      </c>
      <c r="G158" s="43">
        <f t="shared" si="38"/>
        <v>29462</v>
      </c>
      <c r="H158" s="43">
        <f t="shared" si="38"/>
        <v>29080</v>
      </c>
      <c r="I158" s="43">
        <f t="shared" si="38"/>
        <v>35406</v>
      </c>
      <c r="J158" s="43">
        <f t="shared" si="38"/>
        <v>31209</v>
      </c>
      <c r="K158" s="43">
        <f>SUM(K150:K157)</f>
        <v>21047</v>
      </c>
      <c r="L158" s="43">
        <f t="shared" si="38"/>
        <v>25916</v>
      </c>
      <c r="M158" s="43">
        <f t="shared" si="38"/>
        <v>25390</v>
      </c>
      <c r="N158" s="43">
        <f t="shared" si="38"/>
        <v>24804</v>
      </c>
      <c r="O158" s="43">
        <f t="shared" si="38"/>
        <v>21898</v>
      </c>
      <c r="P158" s="44">
        <f>SUM(P150:P157)</f>
        <v>307090</v>
      </c>
      <c r="Q158"/>
    </row>
    <row r="159" spans="1:17" ht="12.75" hidden="1" customHeight="1" x14ac:dyDescent="0.25">
      <c r="A159"/>
      <c r="B159" s="396" t="s">
        <v>45</v>
      </c>
      <c r="C159" s="177" t="s">
        <v>138</v>
      </c>
      <c r="D159" s="39">
        <v>1710</v>
      </c>
      <c r="E159" s="40">
        <v>584</v>
      </c>
      <c r="F159" s="40">
        <v>2121</v>
      </c>
      <c r="G159" s="40">
        <v>1974</v>
      </c>
      <c r="H159" s="40">
        <v>1325</v>
      </c>
      <c r="I159" s="40">
        <v>2175</v>
      </c>
      <c r="J159" s="40">
        <v>1554</v>
      </c>
      <c r="K159" s="40">
        <v>1029</v>
      </c>
      <c r="L159" s="40">
        <v>1575</v>
      </c>
      <c r="M159" s="40">
        <v>1015</v>
      </c>
      <c r="N159" s="40">
        <v>1189</v>
      </c>
      <c r="O159" s="40">
        <v>1475</v>
      </c>
      <c r="P159" s="41">
        <f t="shared" ref="P159:P164" si="39">SUM(D159:O159)</f>
        <v>17726</v>
      </c>
      <c r="Q159"/>
    </row>
    <row r="160" spans="1:17" ht="12.75" hidden="1" customHeight="1" x14ac:dyDescent="0.25">
      <c r="A160"/>
      <c r="B160" s="396"/>
      <c r="C160" s="184" t="s">
        <v>114</v>
      </c>
      <c r="D160" s="25">
        <v>1835</v>
      </c>
      <c r="E160" s="26">
        <v>1459</v>
      </c>
      <c r="F160" s="26">
        <f>2918+697+1391</f>
        <v>5006</v>
      </c>
      <c r="G160" s="26">
        <v>4288</v>
      </c>
      <c r="H160" s="26">
        <v>2913</v>
      </c>
      <c r="I160" s="26">
        <v>3076</v>
      </c>
      <c r="J160" s="26">
        <v>2922</v>
      </c>
      <c r="K160" s="26">
        <v>1574</v>
      </c>
      <c r="L160" s="26">
        <v>3109</v>
      </c>
      <c r="M160" s="26">
        <v>1793</v>
      </c>
      <c r="N160" s="26">
        <v>2217</v>
      </c>
      <c r="O160" s="26">
        <v>1710</v>
      </c>
      <c r="P160" s="27">
        <f t="shared" si="39"/>
        <v>31902</v>
      </c>
      <c r="Q160"/>
    </row>
    <row r="161" spans="1:17" ht="12.75" hidden="1" customHeight="1" x14ac:dyDescent="0.25">
      <c r="A161"/>
      <c r="B161" s="396"/>
      <c r="C161" s="184" t="s">
        <v>60</v>
      </c>
      <c r="D161" s="25">
        <v>1766</v>
      </c>
      <c r="E161" s="26">
        <v>1534</v>
      </c>
      <c r="F161" s="26">
        <v>2612</v>
      </c>
      <c r="G161" s="26">
        <v>1718</v>
      </c>
      <c r="H161" s="26">
        <v>2353</v>
      </c>
      <c r="I161" s="26">
        <v>3115</v>
      </c>
      <c r="J161" s="26">
        <v>1686</v>
      </c>
      <c r="K161" s="26">
        <v>1664</v>
      </c>
      <c r="L161" s="26">
        <v>2196</v>
      </c>
      <c r="M161" s="26">
        <v>3063</v>
      </c>
      <c r="N161" s="26">
        <v>7490</v>
      </c>
      <c r="O161" s="26">
        <v>6947</v>
      </c>
      <c r="P161" s="27">
        <f t="shared" si="39"/>
        <v>36144</v>
      </c>
      <c r="Q161"/>
    </row>
    <row r="162" spans="1:17" ht="12.75" hidden="1" customHeight="1" x14ac:dyDescent="0.25">
      <c r="A162"/>
      <c r="B162" s="396"/>
      <c r="C162" s="184" t="s">
        <v>125</v>
      </c>
      <c r="D162" s="25">
        <v>81</v>
      </c>
      <c r="E162" s="26">
        <v>443</v>
      </c>
      <c r="F162" s="26">
        <v>706</v>
      </c>
      <c r="G162" s="26">
        <v>795</v>
      </c>
      <c r="H162" s="26">
        <v>270</v>
      </c>
      <c r="I162" s="26">
        <v>317</v>
      </c>
      <c r="J162" s="26">
        <v>700</v>
      </c>
      <c r="K162" s="26">
        <v>675</v>
      </c>
      <c r="L162" s="26">
        <v>461</v>
      </c>
      <c r="M162" s="26">
        <v>640</v>
      </c>
      <c r="N162" s="26">
        <v>365</v>
      </c>
      <c r="O162" s="26">
        <v>333</v>
      </c>
      <c r="P162" s="200">
        <f t="shared" si="39"/>
        <v>5786</v>
      </c>
      <c r="Q162"/>
    </row>
    <row r="163" spans="1:17" ht="12.75" hidden="1" customHeight="1" x14ac:dyDescent="0.25">
      <c r="A163"/>
      <c r="B163" s="396"/>
      <c r="C163" s="179" t="s">
        <v>8</v>
      </c>
      <c r="D163" s="29">
        <v>3204</v>
      </c>
      <c r="E163" s="30">
        <v>2978</v>
      </c>
      <c r="F163" s="30">
        <v>5788</v>
      </c>
      <c r="G163" s="30">
        <v>3468</v>
      </c>
      <c r="H163" s="30">
        <v>5765</v>
      </c>
      <c r="I163" s="30">
        <v>4901</v>
      </c>
      <c r="J163" s="30">
        <v>6252</v>
      </c>
      <c r="K163" s="30">
        <v>6224</v>
      </c>
      <c r="L163" s="30">
        <v>4520</v>
      </c>
      <c r="M163" s="30">
        <v>4003</v>
      </c>
      <c r="N163" s="30">
        <v>5157</v>
      </c>
      <c r="O163" s="30">
        <v>5318</v>
      </c>
      <c r="P163" s="80">
        <f t="shared" si="39"/>
        <v>57578</v>
      </c>
      <c r="Q163"/>
    </row>
    <row r="164" spans="1:17" ht="12.75" hidden="1" customHeight="1" x14ac:dyDescent="0.25">
      <c r="A164"/>
      <c r="B164" s="396"/>
      <c r="C164" s="179" t="s">
        <v>134</v>
      </c>
      <c r="D164" s="29">
        <v>5173</v>
      </c>
      <c r="E164" s="30">
        <v>2618</v>
      </c>
      <c r="F164" s="30">
        <v>6293</v>
      </c>
      <c r="G164" s="30">
        <v>5873</v>
      </c>
      <c r="H164" s="30">
        <v>4177</v>
      </c>
      <c r="I164" s="30">
        <v>6895</v>
      </c>
      <c r="J164" s="30">
        <v>6071</v>
      </c>
      <c r="K164" s="30">
        <v>4433</v>
      </c>
      <c r="L164" s="30">
        <v>5069</v>
      </c>
      <c r="M164" s="30">
        <v>6514</v>
      </c>
      <c r="N164" s="30">
        <v>5706</v>
      </c>
      <c r="O164" s="30">
        <v>5969</v>
      </c>
      <c r="P164" s="31">
        <f t="shared" si="39"/>
        <v>64791</v>
      </c>
      <c r="Q164"/>
    </row>
    <row r="165" spans="1:17" ht="12.75" hidden="1" customHeight="1" thickBot="1" x14ac:dyDescent="0.3">
      <c r="A165"/>
      <c r="B165" s="400"/>
      <c r="C165" s="185" t="s">
        <v>0</v>
      </c>
      <c r="D165" s="36">
        <f t="shared" ref="D165:P165" si="40">SUM(D159:D164)</f>
        <v>13769</v>
      </c>
      <c r="E165" s="36">
        <f t="shared" si="40"/>
        <v>9616</v>
      </c>
      <c r="F165" s="36">
        <f t="shared" si="40"/>
        <v>22526</v>
      </c>
      <c r="G165" s="36">
        <f t="shared" si="40"/>
        <v>18116</v>
      </c>
      <c r="H165" s="36">
        <f t="shared" si="40"/>
        <v>16803</v>
      </c>
      <c r="I165" s="36">
        <f t="shared" si="40"/>
        <v>20479</v>
      </c>
      <c r="J165" s="36">
        <f t="shared" si="40"/>
        <v>19185</v>
      </c>
      <c r="K165" s="36">
        <f t="shared" si="40"/>
        <v>15599</v>
      </c>
      <c r="L165" s="36">
        <f>SUM(L159:L164)</f>
        <v>16930</v>
      </c>
      <c r="M165" s="36">
        <f t="shared" si="40"/>
        <v>17028</v>
      </c>
      <c r="N165" s="36">
        <f t="shared" si="40"/>
        <v>22124</v>
      </c>
      <c r="O165" s="36">
        <f t="shared" si="40"/>
        <v>21752</v>
      </c>
      <c r="P165" s="37">
        <f t="shared" si="40"/>
        <v>213927</v>
      </c>
      <c r="Q165"/>
    </row>
    <row r="166" spans="1:17" ht="12.75" hidden="1" customHeight="1" x14ac:dyDescent="0.25">
      <c r="A166"/>
      <c r="B166" s="392" t="s">
        <v>9</v>
      </c>
      <c r="C166" s="177" t="s">
        <v>11</v>
      </c>
      <c r="D166" s="39">
        <v>2648</v>
      </c>
      <c r="E166" s="40">
        <v>1268</v>
      </c>
      <c r="F166" s="40">
        <v>2897</v>
      </c>
      <c r="G166" s="40">
        <v>3075</v>
      </c>
      <c r="H166" s="40">
        <v>3245</v>
      </c>
      <c r="I166" s="40">
        <v>4409</v>
      </c>
      <c r="J166" s="40">
        <v>4475</v>
      </c>
      <c r="K166" s="40">
        <v>1951</v>
      </c>
      <c r="L166" s="40">
        <v>2820</v>
      </c>
      <c r="M166" s="40">
        <v>3254</v>
      </c>
      <c r="N166" s="40">
        <v>3047</v>
      </c>
      <c r="O166" s="40">
        <v>3101</v>
      </c>
      <c r="P166" s="41">
        <f>SUM(D166:O166)</f>
        <v>36190</v>
      </c>
      <c r="Q166"/>
    </row>
    <row r="167" spans="1:17" ht="12.75" hidden="1" customHeight="1" x14ac:dyDescent="0.25">
      <c r="A167"/>
      <c r="B167" s="393"/>
      <c r="C167" s="184" t="s">
        <v>12</v>
      </c>
      <c r="D167" s="25">
        <v>7480</v>
      </c>
      <c r="E167" s="26">
        <v>7875</v>
      </c>
      <c r="F167" s="26">
        <f>8409+765</f>
        <v>9174</v>
      </c>
      <c r="G167" s="26">
        <v>7570</v>
      </c>
      <c r="H167" s="26">
        <v>6322</v>
      </c>
      <c r="I167" s="26">
        <v>7641</v>
      </c>
      <c r="J167" s="26">
        <v>9172</v>
      </c>
      <c r="K167" s="26">
        <v>7118</v>
      </c>
      <c r="L167" s="26">
        <v>8995</v>
      </c>
      <c r="M167" s="26">
        <v>8523</v>
      </c>
      <c r="N167" s="26">
        <v>8062</v>
      </c>
      <c r="O167" s="26">
        <v>7262</v>
      </c>
      <c r="P167" s="27">
        <f>SUM(D167:O167)</f>
        <v>95194</v>
      </c>
      <c r="Q167"/>
    </row>
    <row r="168" spans="1:17" ht="12.75" hidden="1" customHeight="1" thickBot="1" x14ac:dyDescent="0.3">
      <c r="A168"/>
      <c r="B168" s="394"/>
      <c r="C168" s="183" t="s">
        <v>0</v>
      </c>
      <c r="D168" s="43">
        <f t="shared" ref="D168:L168" si="41">SUM(D166:D167)</f>
        <v>10128</v>
      </c>
      <c r="E168" s="43">
        <f t="shared" si="41"/>
        <v>9143</v>
      </c>
      <c r="F168" s="43">
        <f t="shared" si="41"/>
        <v>12071</v>
      </c>
      <c r="G168" s="43">
        <f t="shared" si="41"/>
        <v>10645</v>
      </c>
      <c r="H168" s="43">
        <f t="shared" si="41"/>
        <v>9567</v>
      </c>
      <c r="I168" s="43">
        <f t="shared" si="41"/>
        <v>12050</v>
      </c>
      <c r="J168" s="43">
        <f t="shared" si="41"/>
        <v>13647</v>
      </c>
      <c r="K168" s="43">
        <f t="shared" si="41"/>
        <v>9069</v>
      </c>
      <c r="L168" s="43">
        <f t="shared" si="41"/>
        <v>11815</v>
      </c>
      <c r="M168" s="43">
        <f>SUM(M166:M167)</f>
        <v>11777</v>
      </c>
      <c r="N168" s="43">
        <f>SUM(N166:N167)</f>
        <v>11109</v>
      </c>
      <c r="O168" s="43">
        <f>SUM(O166:O167)</f>
        <v>10363</v>
      </c>
      <c r="P168" s="44">
        <f>SUM(P166:P167)</f>
        <v>131384</v>
      </c>
      <c r="Q168"/>
    </row>
    <row r="169" spans="1:17" ht="12.75" hidden="1" customHeight="1" x14ac:dyDescent="0.25">
      <c r="A169"/>
      <c r="B169" s="392" t="s">
        <v>10</v>
      </c>
      <c r="C169" s="177" t="s">
        <v>13</v>
      </c>
      <c r="D169" s="39">
        <f>152+69+194+116</f>
        <v>531</v>
      </c>
      <c r="E169" s="40">
        <f>240+57+141+130</f>
        <v>568</v>
      </c>
      <c r="F169" s="40">
        <f>152+73+301+131</f>
        <v>657</v>
      </c>
      <c r="G169" s="40">
        <f>193+111+306+116</f>
        <v>726</v>
      </c>
      <c r="H169" s="40">
        <f>200+71+247+122</f>
        <v>640</v>
      </c>
      <c r="I169" s="40">
        <f>253+78+250+101</f>
        <v>682</v>
      </c>
      <c r="J169" s="40">
        <v>477</v>
      </c>
      <c r="K169" s="40">
        <v>359</v>
      </c>
      <c r="L169" s="40">
        <v>453</v>
      </c>
      <c r="M169" s="40">
        <v>596</v>
      </c>
      <c r="N169" s="40">
        <v>592</v>
      </c>
      <c r="O169" s="40">
        <v>556</v>
      </c>
      <c r="P169" s="41">
        <f>SUM(D169:O169)</f>
        <v>6837</v>
      </c>
      <c r="Q169"/>
    </row>
    <row r="170" spans="1:17" ht="12.75" hidden="1" customHeight="1" x14ac:dyDescent="0.25">
      <c r="A170"/>
      <c r="B170" s="393"/>
      <c r="C170" s="184" t="s">
        <v>14</v>
      </c>
      <c r="D170" s="25">
        <f>672+404+396</f>
        <v>1472</v>
      </c>
      <c r="E170" s="26">
        <f>504+315+446</f>
        <v>1265</v>
      </c>
      <c r="F170" s="26">
        <f>891+606+546</f>
        <v>2043</v>
      </c>
      <c r="G170" s="26">
        <f>736+573+93+474</f>
        <v>1876</v>
      </c>
      <c r="H170" s="26">
        <f>732+495+116+417</f>
        <v>1760</v>
      </c>
      <c r="I170" s="26">
        <f>764+456+113+435</f>
        <v>1768</v>
      </c>
      <c r="J170" s="26">
        <v>1744</v>
      </c>
      <c r="K170" s="26">
        <v>1454</v>
      </c>
      <c r="L170" s="26">
        <v>1675</v>
      </c>
      <c r="M170" s="26">
        <v>1719</v>
      </c>
      <c r="N170" s="26">
        <v>1839</v>
      </c>
      <c r="O170" s="26">
        <v>1617</v>
      </c>
      <c r="P170" s="27">
        <f>SUM(D170:O170)</f>
        <v>20232</v>
      </c>
      <c r="Q170"/>
    </row>
    <row r="171" spans="1:17" ht="12.75" hidden="1" customHeight="1" thickBot="1" x14ac:dyDescent="0.3">
      <c r="A171"/>
      <c r="B171" s="394"/>
      <c r="C171" s="183" t="s">
        <v>0</v>
      </c>
      <c r="D171" s="43">
        <f t="shared" ref="D171:P171" si="42">SUM(D169:D170)</f>
        <v>2003</v>
      </c>
      <c r="E171" s="43">
        <f t="shared" si="42"/>
        <v>1833</v>
      </c>
      <c r="F171" s="43">
        <f t="shared" si="42"/>
        <v>2700</v>
      </c>
      <c r="G171" s="43">
        <f t="shared" si="42"/>
        <v>2602</v>
      </c>
      <c r="H171" s="43">
        <f t="shared" si="42"/>
        <v>2400</v>
      </c>
      <c r="I171" s="43">
        <f t="shared" si="42"/>
        <v>2450</v>
      </c>
      <c r="J171" s="43">
        <f>SUM(J169:J170)</f>
        <v>2221</v>
      </c>
      <c r="K171" s="43">
        <f t="shared" si="42"/>
        <v>1813</v>
      </c>
      <c r="L171" s="43">
        <f t="shared" si="42"/>
        <v>2128</v>
      </c>
      <c r="M171" s="43">
        <f t="shared" si="42"/>
        <v>2315</v>
      </c>
      <c r="N171" s="43">
        <f t="shared" si="42"/>
        <v>2431</v>
      </c>
      <c r="O171" s="43">
        <f t="shared" si="42"/>
        <v>2173</v>
      </c>
      <c r="P171" s="44">
        <f t="shared" si="42"/>
        <v>27069</v>
      </c>
      <c r="Q171"/>
    </row>
    <row r="172" spans="1:17" ht="12.75" hidden="1" customHeight="1" x14ac:dyDescent="0.25">
      <c r="A172"/>
      <c r="B172" s="401" t="s">
        <v>4</v>
      </c>
      <c r="C172" s="186" t="s">
        <v>116</v>
      </c>
      <c r="D172" s="158">
        <v>637</v>
      </c>
      <c r="E172" s="158">
        <v>549</v>
      </c>
      <c r="F172" s="158">
        <v>1109</v>
      </c>
      <c r="G172" s="158">
        <v>826</v>
      </c>
      <c r="H172" s="158">
        <v>613</v>
      </c>
      <c r="I172" s="158">
        <v>981</v>
      </c>
      <c r="J172" s="158">
        <v>489</v>
      </c>
      <c r="K172" s="158">
        <v>448</v>
      </c>
      <c r="L172" s="158">
        <v>451</v>
      </c>
      <c r="M172" s="158">
        <v>233</v>
      </c>
      <c r="N172" s="158">
        <v>350</v>
      </c>
      <c r="O172" s="158">
        <v>1224</v>
      </c>
      <c r="P172" s="159">
        <f>SUM(D172:O172)</f>
        <v>7910</v>
      </c>
      <c r="Q172"/>
    </row>
    <row r="173" spans="1:17" ht="12.75" hidden="1" customHeight="1" x14ac:dyDescent="0.25">
      <c r="A173"/>
      <c r="B173" s="402"/>
      <c r="C173" s="187" t="s">
        <v>118</v>
      </c>
      <c r="D173" s="134">
        <v>1186</v>
      </c>
      <c r="E173" s="134">
        <v>783</v>
      </c>
      <c r="F173" s="134">
        <f>546+71</f>
        <v>617</v>
      </c>
      <c r="G173" s="134">
        <v>4416</v>
      </c>
      <c r="H173" s="134">
        <v>7582</v>
      </c>
      <c r="I173" s="134">
        <v>7905</v>
      </c>
      <c r="J173" s="134">
        <v>6504</v>
      </c>
      <c r="K173" s="134">
        <v>4100</v>
      </c>
      <c r="L173" s="134">
        <v>6040</v>
      </c>
      <c r="M173" s="134">
        <v>5268</v>
      </c>
      <c r="N173" s="134">
        <v>5019</v>
      </c>
      <c r="O173" s="134">
        <v>6730</v>
      </c>
      <c r="P173" s="135">
        <f>SUM(D173:O173)</f>
        <v>56150</v>
      </c>
      <c r="Q173"/>
    </row>
    <row r="174" spans="1:17" ht="10.95" hidden="1" customHeight="1" x14ac:dyDescent="0.25">
      <c r="A174"/>
      <c r="B174" s="402"/>
      <c r="C174" s="179" t="s">
        <v>132</v>
      </c>
      <c r="D174" s="29">
        <v>830</v>
      </c>
      <c r="E174" s="30">
        <v>683</v>
      </c>
      <c r="F174" s="30">
        <v>1209</v>
      </c>
      <c r="G174" s="30">
        <v>651</v>
      </c>
      <c r="H174" s="30">
        <v>601</v>
      </c>
      <c r="I174" s="30">
        <v>701</v>
      </c>
      <c r="J174" s="30">
        <v>1117</v>
      </c>
      <c r="K174" s="30">
        <v>704</v>
      </c>
      <c r="L174" s="30">
        <v>882</v>
      </c>
      <c r="M174" s="30">
        <v>915</v>
      </c>
      <c r="N174" s="30">
        <v>925</v>
      </c>
      <c r="O174" s="30">
        <v>791</v>
      </c>
      <c r="P174" s="31">
        <f>SUM(D174:O174)</f>
        <v>10009</v>
      </c>
      <c r="Q174"/>
    </row>
    <row r="175" spans="1:17" hidden="1" x14ac:dyDescent="0.25">
      <c r="A175"/>
      <c r="B175" s="402"/>
      <c r="C175" s="179" t="s">
        <v>162</v>
      </c>
      <c r="D175" s="29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15</v>
      </c>
      <c r="O175" s="30">
        <v>83</v>
      </c>
      <c r="P175" s="31">
        <f>SUM(D175:O175)</f>
        <v>98</v>
      </c>
    </row>
    <row r="176" spans="1:17" ht="9.75" hidden="1" customHeight="1" x14ac:dyDescent="0.25">
      <c r="A176"/>
      <c r="B176" s="402"/>
      <c r="C176" s="179" t="s">
        <v>149</v>
      </c>
      <c r="D176" s="29">
        <v>347</v>
      </c>
      <c r="E176" s="30">
        <v>1176</v>
      </c>
      <c r="F176" s="30">
        <v>3268</v>
      </c>
      <c r="G176" s="30">
        <v>4324</v>
      </c>
      <c r="H176" s="30">
        <v>4164</v>
      </c>
      <c r="I176" s="30">
        <v>3728</v>
      </c>
      <c r="J176" s="30">
        <v>3009</v>
      </c>
      <c r="K176" s="30">
        <v>1810</v>
      </c>
      <c r="L176" s="30">
        <v>2918</v>
      </c>
      <c r="M176" s="30">
        <v>2743</v>
      </c>
      <c r="N176" s="30">
        <v>3258</v>
      </c>
      <c r="O176" s="30">
        <v>3472</v>
      </c>
      <c r="P176" s="31">
        <f>SUM(D176:O176)</f>
        <v>34217</v>
      </c>
    </row>
    <row r="177" spans="1:17" ht="9.75" hidden="1" customHeight="1" thickBot="1" x14ac:dyDescent="0.3">
      <c r="A177"/>
      <c r="B177" s="403"/>
      <c r="C177" s="42" t="s">
        <v>0</v>
      </c>
      <c r="D177" s="43">
        <f>SUM(D172:D176)</f>
        <v>3000</v>
      </c>
      <c r="E177" s="43">
        <f t="shared" ref="E177:P177" si="43">SUM(E172:E176)</f>
        <v>3191</v>
      </c>
      <c r="F177" s="43">
        <f t="shared" si="43"/>
        <v>6203</v>
      </c>
      <c r="G177" s="43">
        <f t="shared" si="43"/>
        <v>10217</v>
      </c>
      <c r="H177" s="43">
        <f t="shared" si="43"/>
        <v>12960</v>
      </c>
      <c r="I177" s="43">
        <f t="shared" si="43"/>
        <v>13315</v>
      </c>
      <c r="J177" s="43">
        <f t="shared" si="43"/>
        <v>11119</v>
      </c>
      <c r="K177" s="43">
        <f t="shared" si="43"/>
        <v>7062</v>
      </c>
      <c r="L177" s="43">
        <f t="shared" si="43"/>
        <v>10291</v>
      </c>
      <c r="M177" s="43">
        <f t="shared" si="43"/>
        <v>9159</v>
      </c>
      <c r="N177" s="43">
        <f t="shared" si="43"/>
        <v>9567</v>
      </c>
      <c r="O177" s="43">
        <f t="shared" si="43"/>
        <v>12300</v>
      </c>
      <c r="P177" s="43">
        <f t="shared" si="43"/>
        <v>108384</v>
      </c>
    </row>
    <row r="178" spans="1:17" ht="9.75" hidden="1" customHeight="1" thickBot="1" x14ac:dyDescent="0.3">
      <c r="A178"/>
      <c r="B178" s="406" t="s">
        <v>2</v>
      </c>
      <c r="C178" s="407"/>
      <c r="D178" s="45">
        <f t="shared" ref="D178:O178" si="44">D158+D165+D171+D168+D177</f>
        <v>47591</v>
      </c>
      <c r="E178" s="45">
        <f t="shared" si="44"/>
        <v>39290</v>
      </c>
      <c r="F178" s="45">
        <f t="shared" si="44"/>
        <v>72180</v>
      </c>
      <c r="G178" s="45">
        <f t="shared" si="44"/>
        <v>71042</v>
      </c>
      <c r="H178" s="45">
        <f t="shared" si="44"/>
        <v>70810</v>
      </c>
      <c r="I178" s="45">
        <f t="shared" si="44"/>
        <v>83700</v>
      </c>
      <c r="J178" s="45">
        <f>J158+J165+J171+J168+J177</f>
        <v>77381</v>
      </c>
      <c r="K178" s="45">
        <f t="shared" si="44"/>
        <v>54590</v>
      </c>
      <c r="L178" s="45">
        <f t="shared" si="44"/>
        <v>67080</v>
      </c>
      <c r="M178" s="45">
        <f t="shared" si="44"/>
        <v>65669</v>
      </c>
      <c r="N178" s="45">
        <f t="shared" si="44"/>
        <v>70035</v>
      </c>
      <c r="O178" s="45">
        <f t="shared" si="44"/>
        <v>68486</v>
      </c>
      <c r="P178" s="45">
        <f>SUM(P158,P165,P177,P168,P171)</f>
        <v>787854</v>
      </c>
    </row>
    <row r="179" spans="1:17" ht="4.5" hidden="1" customHeight="1" x14ac:dyDescent="0.25">
      <c r="A179"/>
      <c r="J179" s="118"/>
      <c r="Q179"/>
    </row>
    <row r="180" spans="1:17" hidden="1" x14ac:dyDescent="0.25">
      <c r="A180"/>
      <c r="B180" s="84" t="s">
        <v>24</v>
      </c>
      <c r="C180" s="85"/>
      <c r="D180" s="86">
        <f>SUM(D181:D183)</f>
        <v>2638</v>
      </c>
      <c r="E180" s="86">
        <f t="shared" ref="E180:O180" si="45">SUM(E181:E183)</f>
        <v>2575</v>
      </c>
      <c r="F180" s="86">
        <f t="shared" si="45"/>
        <v>3886</v>
      </c>
      <c r="G180" s="86">
        <f t="shared" si="45"/>
        <v>8249</v>
      </c>
      <c r="H180" s="86">
        <f t="shared" si="45"/>
        <v>9382</v>
      </c>
      <c r="I180" s="86">
        <f t="shared" si="45"/>
        <v>10875</v>
      </c>
      <c r="J180" s="86">
        <f t="shared" si="45"/>
        <v>11037</v>
      </c>
      <c r="K180" s="86">
        <f t="shared" si="45"/>
        <v>5792</v>
      </c>
      <c r="L180" s="86">
        <f t="shared" si="45"/>
        <v>9136</v>
      </c>
      <c r="M180" s="86">
        <f t="shared" si="45"/>
        <v>8316</v>
      </c>
      <c r="N180" s="86">
        <f t="shared" si="45"/>
        <v>7477</v>
      </c>
      <c r="O180" s="86">
        <f t="shared" si="45"/>
        <v>8368</v>
      </c>
      <c r="P180" s="87">
        <f>SUM(P181:P183)</f>
        <v>87731</v>
      </c>
    </row>
    <row r="181" spans="1:17" ht="9.75" hidden="1" customHeight="1" x14ac:dyDescent="0.25">
      <c r="A181"/>
      <c r="B181" s="88"/>
      <c r="C181" s="89" t="s">
        <v>153</v>
      </c>
      <c r="D181" s="102">
        <v>2638</v>
      </c>
      <c r="E181" s="102">
        <v>2575</v>
      </c>
      <c r="F181" s="90">
        <v>3886</v>
      </c>
      <c r="G181" s="103">
        <v>802</v>
      </c>
      <c r="H181" s="90">
        <v>413</v>
      </c>
      <c r="I181" s="100">
        <v>31</v>
      </c>
      <c r="J181" s="100">
        <v>1</v>
      </c>
      <c r="K181" s="90">
        <v>0</v>
      </c>
      <c r="L181" s="90">
        <v>0</v>
      </c>
      <c r="M181" s="90">
        <v>0</v>
      </c>
      <c r="N181" s="90">
        <v>0</v>
      </c>
      <c r="O181" s="90">
        <v>0</v>
      </c>
      <c r="P181" s="91">
        <f>SUM(D181:O181)</f>
        <v>10346</v>
      </c>
    </row>
    <row r="182" spans="1:17" ht="9.75" hidden="1" customHeight="1" x14ac:dyDescent="0.25">
      <c r="A182"/>
      <c r="B182" s="88"/>
      <c r="C182" s="89" t="s">
        <v>154</v>
      </c>
      <c r="D182" s="102">
        <v>0</v>
      </c>
      <c r="E182" s="102">
        <v>0</v>
      </c>
      <c r="F182" s="90">
        <v>0</v>
      </c>
      <c r="G182" s="103">
        <v>7447</v>
      </c>
      <c r="H182" s="90">
        <v>8969</v>
      </c>
      <c r="I182" s="100">
        <v>10844</v>
      </c>
      <c r="J182" s="101">
        <v>11036</v>
      </c>
      <c r="K182" s="93">
        <v>5751</v>
      </c>
      <c r="L182" s="93">
        <v>8241</v>
      </c>
      <c r="M182" s="93">
        <v>7454</v>
      </c>
      <c r="N182" s="93">
        <v>6713</v>
      </c>
      <c r="O182" s="93">
        <v>7605</v>
      </c>
      <c r="P182" s="91">
        <f>SUM(D182:O182)</f>
        <v>74060</v>
      </c>
    </row>
    <row r="183" spans="1:17" ht="8.4" hidden="1" customHeight="1" x14ac:dyDescent="0.25">
      <c r="A183"/>
      <c r="B183" s="92"/>
      <c r="C183" s="89" t="s">
        <v>155</v>
      </c>
      <c r="D183" s="90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v>0</v>
      </c>
      <c r="K183" s="90">
        <v>41</v>
      </c>
      <c r="L183" s="90">
        <v>895</v>
      </c>
      <c r="M183" s="90">
        <v>862</v>
      </c>
      <c r="N183" s="90">
        <v>764</v>
      </c>
      <c r="O183" s="90">
        <v>763</v>
      </c>
      <c r="P183" s="91">
        <f>SUM(D183:O183)</f>
        <v>3325</v>
      </c>
      <c r="Q183"/>
    </row>
    <row r="184" spans="1:17" ht="8.4" hidden="1" customHeight="1" x14ac:dyDescent="0.25">
      <c r="A184"/>
      <c r="J184" s="118"/>
    </row>
    <row r="185" spans="1:17" ht="9.9" hidden="1" customHeight="1" x14ac:dyDescent="0.25">
      <c r="A185"/>
      <c r="B185" s="84" t="s">
        <v>69</v>
      </c>
      <c r="C185" s="85"/>
      <c r="D185" s="86">
        <f t="shared" ref="D185:P185" si="46">SUM(D186:D187)</f>
        <v>164</v>
      </c>
      <c r="E185" s="86">
        <f t="shared" si="46"/>
        <v>188</v>
      </c>
      <c r="F185" s="86">
        <f t="shared" si="46"/>
        <v>685</v>
      </c>
      <c r="G185" s="86">
        <f t="shared" si="46"/>
        <v>555</v>
      </c>
      <c r="H185" s="86">
        <f t="shared" si="46"/>
        <v>183</v>
      </c>
      <c r="I185" s="86">
        <f t="shared" si="46"/>
        <v>280</v>
      </c>
      <c r="J185" s="86">
        <f t="shared" si="46"/>
        <v>268</v>
      </c>
      <c r="K185" s="86">
        <f t="shared" si="46"/>
        <v>264</v>
      </c>
      <c r="L185" s="86">
        <f t="shared" si="46"/>
        <v>233</v>
      </c>
      <c r="M185" s="86">
        <f t="shared" si="46"/>
        <v>234</v>
      </c>
      <c r="N185" s="86">
        <f t="shared" si="46"/>
        <v>540</v>
      </c>
      <c r="O185" s="86">
        <f t="shared" si="46"/>
        <v>21</v>
      </c>
      <c r="P185" s="87">
        <f t="shared" si="46"/>
        <v>3615</v>
      </c>
    </row>
    <row r="186" spans="1:17" ht="9.9" hidden="1" customHeight="1" x14ac:dyDescent="0.25">
      <c r="A186"/>
      <c r="B186" s="88"/>
      <c r="C186" s="89" t="s">
        <v>144</v>
      </c>
      <c r="D186" s="102">
        <v>2</v>
      </c>
      <c r="E186" s="102">
        <v>104</v>
      </c>
      <c r="F186" s="90">
        <v>276</v>
      </c>
      <c r="G186" s="103">
        <v>121</v>
      </c>
      <c r="H186" s="90">
        <v>83</v>
      </c>
      <c r="I186" s="100">
        <v>152</v>
      </c>
      <c r="J186" s="100">
        <v>181</v>
      </c>
      <c r="K186" s="90">
        <v>189</v>
      </c>
      <c r="L186" s="90">
        <v>166</v>
      </c>
      <c r="M186" s="90">
        <v>103</v>
      </c>
      <c r="N186" s="90">
        <v>121</v>
      </c>
      <c r="O186" s="90">
        <v>11</v>
      </c>
      <c r="P186" s="91">
        <f>SUM(D186:O186)</f>
        <v>1509</v>
      </c>
    </row>
    <row r="187" spans="1:17" ht="9.9" hidden="1" customHeight="1" x14ac:dyDescent="0.25">
      <c r="A187"/>
      <c r="B187" s="92"/>
      <c r="C187" s="89" t="s">
        <v>143</v>
      </c>
      <c r="D187" s="102">
        <v>162</v>
      </c>
      <c r="E187" s="102">
        <v>84</v>
      </c>
      <c r="F187" s="90">
        <v>409</v>
      </c>
      <c r="G187" s="103">
        <v>434</v>
      </c>
      <c r="H187" s="90">
        <v>100</v>
      </c>
      <c r="I187" s="100">
        <v>128</v>
      </c>
      <c r="J187" s="101">
        <v>87</v>
      </c>
      <c r="K187" s="93">
        <v>75</v>
      </c>
      <c r="L187" s="93">
        <v>67</v>
      </c>
      <c r="M187" s="93">
        <v>131</v>
      </c>
      <c r="N187" s="93">
        <v>419</v>
      </c>
      <c r="O187" s="93">
        <v>10</v>
      </c>
      <c r="P187" s="91">
        <f>SUM(D187:O187)</f>
        <v>2106</v>
      </c>
    </row>
    <row r="188" spans="1:17" ht="9.9" hidden="1" customHeight="1" x14ac:dyDescent="0.25">
      <c r="A188"/>
      <c r="J188" s="118"/>
    </row>
    <row r="189" spans="1:17" ht="9.6" hidden="1" customHeight="1" x14ac:dyDescent="0.25">
      <c r="A189"/>
      <c r="B189" s="95" t="s">
        <v>25</v>
      </c>
      <c r="C189" s="96"/>
      <c r="D189" s="86">
        <f>D190+D191+D193+D192</f>
        <v>6423</v>
      </c>
      <c r="E189" s="86">
        <f t="shared" ref="E189:P189" si="47">E190+E191+E193+E192</f>
        <v>5022</v>
      </c>
      <c r="F189" s="86">
        <f t="shared" si="47"/>
        <v>7253</v>
      </c>
      <c r="G189" s="86">
        <f t="shared" si="47"/>
        <v>5385</v>
      </c>
      <c r="H189" s="86">
        <f t="shared" si="47"/>
        <v>5827</v>
      </c>
      <c r="I189" s="86">
        <f t="shared" si="47"/>
        <v>8063</v>
      </c>
      <c r="J189" s="86">
        <f t="shared" si="47"/>
        <v>5213</v>
      </c>
      <c r="K189" s="86">
        <f t="shared" si="47"/>
        <v>4595</v>
      </c>
      <c r="L189" s="86">
        <f t="shared" si="47"/>
        <v>4589</v>
      </c>
      <c r="M189" s="86">
        <f t="shared" si="47"/>
        <v>5670</v>
      </c>
      <c r="N189" s="86">
        <f t="shared" si="47"/>
        <v>5038</v>
      </c>
      <c r="O189" s="86">
        <f t="shared" si="47"/>
        <v>4362</v>
      </c>
      <c r="P189" s="86">
        <f t="shared" si="47"/>
        <v>67440</v>
      </c>
    </row>
    <row r="190" spans="1:17" hidden="1" x14ac:dyDescent="0.25">
      <c r="A190"/>
      <c r="B190" s="88"/>
      <c r="C190" s="89" t="s">
        <v>53</v>
      </c>
      <c r="D190" s="125">
        <v>1668</v>
      </c>
      <c r="E190" s="125">
        <v>1783</v>
      </c>
      <c r="F190" s="125">
        <v>1729</v>
      </c>
      <c r="G190" s="90">
        <v>1451</v>
      </c>
      <c r="H190" s="90">
        <v>1597</v>
      </c>
      <c r="I190" s="90">
        <v>1875</v>
      </c>
      <c r="J190" s="90">
        <v>1644</v>
      </c>
      <c r="K190" s="90">
        <v>1447</v>
      </c>
      <c r="L190" s="90">
        <v>1515</v>
      </c>
      <c r="M190" s="90">
        <v>1742</v>
      </c>
      <c r="N190" s="90">
        <v>1507</v>
      </c>
      <c r="O190" s="90">
        <v>1415</v>
      </c>
      <c r="P190" s="91">
        <f>SUM(D190:O190)</f>
        <v>19373</v>
      </c>
    </row>
    <row r="191" spans="1:17" ht="9.75" hidden="1" customHeight="1" x14ac:dyDescent="0.25">
      <c r="A191"/>
      <c r="B191" s="88"/>
      <c r="C191" s="131" t="s">
        <v>142</v>
      </c>
      <c r="D191" s="125">
        <v>0</v>
      </c>
      <c r="E191" s="125">
        <v>0</v>
      </c>
      <c r="F191" s="125">
        <v>0</v>
      </c>
      <c r="G191" s="125">
        <v>0</v>
      </c>
      <c r="H191" s="125">
        <v>0</v>
      </c>
      <c r="I191" s="125">
        <v>0</v>
      </c>
      <c r="J191" s="125">
        <v>0</v>
      </c>
      <c r="K191" s="125">
        <v>0</v>
      </c>
      <c r="L191" s="125">
        <v>0</v>
      </c>
      <c r="M191" s="125">
        <v>0</v>
      </c>
      <c r="N191" s="125">
        <v>0</v>
      </c>
      <c r="O191" s="93">
        <v>0</v>
      </c>
      <c r="P191" s="91">
        <f>SUM(D191:O191)</f>
        <v>0</v>
      </c>
    </row>
    <row r="192" spans="1:17" ht="9.75" hidden="1" customHeight="1" x14ac:dyDescent="0.25">
      <c r="A192"/>
      <c r="B192" s="88"/>
      <c r="C192" s="89" t="s">
        <v>137</v>
      </c>
      <c r="D192" s="90">
        <v>3743</v>
      </c>
      <c r="E192" s="90">
        <v>3044</v>
      </c>
      <c r="F192" s="90">
        <v>4804</v>
      </c>
      <c r="G192" s="90">
        <v>3341</v>
      </c>
      <c r="H192" s="90">
        <v>2924</v>
      </c>
      <c r="I192" s="90">
        <v>5123</v>
      </c>
      <c r="J192" s="90">
        <v>2942</v>
      </c>
      <c r="K192" s="90">
        <v>2604</v>
      </c>
      <c r="L192" s="90">
        <v>2385</v>
      </c>
      <c r="M192" s="90">
        <v>3333</v>
      </c>
      <c r="N192" s="90">
        <v>2433</v>
      </c>
      <c r="O192" s="90">
        <v>2182</v>
      </c>
      <c r="P192" s="91">
        <f>SUM(D192:O192)</f>
        <v>38858</v>
      </c>
    </row>
    <row r="193" spans="1:17" ht="10.199999999999999" hidden="1" customHeight="1" x14ac:dyDescent="0.25">
      <c r="A193"/>
      <c r="B193" s="92"/>
      <c r="C193" s="89" t="s">
        <v>140</v>
      </c>
      <c r="D193" s="90">
        <v>1012</v>
      </c>
      <c r="E193" s="90">
        <v>195</v>
      </c>
      <c r="F193" s="90">
        <v>720</v>
      </c>
      <c r="G193" s="90">
        <v>593</v>
      </c>
      <c r="H193" s="90">
        <v>1306</v>
      </c>
      <c r="I193" s="90">
        <v>1065</v>
      </c>
      <c r="J193" s="90">
        <v>627</v>
      </c>
      <c r="K193" s="90">
        <v>544</v>
      </c>
      <c r="L193" s="90">
        <v>689</v>
      </c>
      <c r="M193" s="90">
        <v>595</v>
      </c>
      <c r="N193" s="90">
        <v>1098</v>
      </c>
      <c r="O193" s="90">
        <v>765</v>
      </c>
      <c r="P193" s="91">
        <f>SUM(D193:O193)</f>
        <v>9209</v>
      </c>
    </row>
    <row r="194" spans="1:17" ht="9.9" hidden="1" customHeight="1" x14ac:dyDescent="0.25">
      <c r="A194"/>
      <c r="B194" s="104"/>
      <c r="C194" s="97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9"/>
    </row>
    <row r="195" spans="1:17" ht="9.9" hidden="1" customHeight="1" x14ac:dyDescent="0.25">
      <c r="A195"/>
      <c r="B195" s="84" t="s">
        <v>27</v>
      </c>
      <c r="C195" s="85"/>
      <c r="D195" s="86">
        <f t="shared" ref="D195:P195" si="48">SUM(D196:D197)</f>
        <v>9350</v>
      </c>
      <c r="E195" s="86">
        <f t="shared" si="48"/>
        <v>7550</v>
      </c>
      <c r="F195" s="86">
        <f t="shared" si="48"/>
        <v>16600</v>
      </c>
      <c r="G195" s="86">
        <f t="shared" si="48"/>
        <v>15000</v>
      </c>
      <c r="H195" s="86">
        <f t="shared" si="48"/>
        <v>13416</v>
      </c>
      <c r="I195" s="86">
        <f t="shared" si="48"/>
        <v>15688</v>
      </c>
      <c r="J195" s="86">
        <f t="shared" si="48"/>
        <v>14381</v>
      </c>
      <c r="K195" s="86">
        <f t="shared" si="48"/>
        <v>10235</v>
      </c>
      <c r="L195" s="86">
        <f t="shared" si="48"/>
        <v>11590</v>
      </c>
      <c r="M195" s="86">
        <f t="shared" si="48"/>
        <v>10926</v>
      </c>
      <c r="N195" s="86">
        <f t="shared" si="48"/>
        <v>11648</v>
      </c>
      <c r="O195" s="86">
        <f t="shared" si="48"/>
        <v>9079</v>
      </c>
      <c r="P195" s="86">
        <f t="shared" si="48"/>
        <v>145463</v>
      </c>
    </row>
    <row r="196" spans="1:17" ht="9.9" hidden="1" customHeight="1" x14ac:dyDescent="0.25">
      <c r="A196"/>
      <c r="B196" s="88"/>
      <c r="C196" s="150" t="s">
        <v>80</v>
      </c>
      <c r="D196" s="151">
        <v>6883</v>
      </c>
      <c r="E196" s="151">
        <v>6708</v>
      </c>
      <c r="F196" s="152">
        <v>13568</v>
      </c>
      <c r="G196" s="153">
        <v>11566</v>
      </c>
      <c r="H196" s="152">
        <v>10343</v>
      </c>
      <c r="I196" s="154">
        <v>11651</v>
      </c>
      <c r="J196" s="154">
        <f>10310+453</f>
        <v>10763</v>
      </c>
      <c r="K196" s="152">
        <v>7019</v>
      </c>
      <c r="L196" s="152">
        <v>7372</v>
      </c>
      <c r="M196" s="152">
        <v>6735</v>
      </c>
      <c r="N196" s="152">
        <v>8142</v>
      </c>
      <c r="O196" s="152">
        <v>5724</v>
      </c>
      <c r="P196" s="155">
        <f>SUM(D196:O196)</f>
        <v>106474</v>
      </c>
    </row>
    <row r="197" spans="1:17" ht="9.9" hidden="1" customHeight="1" x14ac:dyDescent="0.25">
      <c r="A197"/>
      <c r="B197" s="92"/>
      <c r="C197" s="89" t="s">
        <v>141</v>
      </c>
      <c r="D197" s="102">
        <v>2467</v>
      </c>
      <c r="E197" s="102">
        <v>842</v>
      </c>
      <c r="F197" s="90">
        <v>3032</v>
      </c>
      <c r="G197" s="103">
        <v>3434</v>
      </c>
      <c r="H197" s="90">
        <v>3073</v>
      </c>
      <c r="I197" s="100">
        <v>4037</v>
      </c>
      <c r="J197" s="101">
        <v>3618</v>
      </c>
      <c r="K197" s="93">
        <v>3216</v>
      </c>
      <c r="L197" s="93">
        <v>4218</v>
      </c>
      <c r="M197" s="93">
        <v>4191</v>
      </c>
      <c r="N197" s="93">
        <v>3506</v>
      </c>
      <c r="O197" s="93">
        <v>3355</v>
      </c>
      <c r="P197" s="91">
        <f>SUM(D197:O197)</f>
        <v>38989</v>
      </c>
    </row>
    <row r="198" spans="1:17" s="210" customFormat="1" ht="8.4" hidden="1" customHeight="1" x14ac:dyDescent="0.25">
      <c r="A198"/>
      <c r="B198" s="104"/>
      <c r="C198" s="97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9"/>
      <c r="Q198" s="209"/>
    </row>
    <row r="199" spans="1:17" ht="9.9" hidden="1" customHeight="1" x14ac:dyDescent="0.25">
      <c r="B199" s="84" t="s">
        <v>114</v>
      </c>
      <c r="C199" s="85"/>
      <c r="D199" s="86">
        <f t="shared" ref="D199:P199" si="49">SUM(D200:D202)</f>
        <v>1835</v>
      </c>
      <c r="E199" s="86">
        <f t="shared" si="49"/>
        <v>1459</v>
      </c>
      <c r="F199" s="86">
        <f t="shared" si="49"/>
        <v>5006</v>
      </c>
      <c r="G199" s="86">
        <f t="shared" si="49"/>
        <v>4288</v>
      </c>
      <c r="H199" s="86">
        <f t="shared" si="49"/>
        <v>2913</v>
      </c>
      <c r="I199" s="86">
        <f t="shared" si="49"/>
        <v>3076</v>
      </c>
      <c r="J199" s="86">
        <f t="shared" si="49"/>
        <v>2922</v>
      </c>
      <c r="K199" s="86">
        <f t="shared" si="49"/>
        <v>1574</v>
      </c>
      <c r="L199" s="86">
        <f t="shared" si="49"/>
        <v>3109</v>
      </c>
      <c r="M199" s="86">
        <f t="shared" si="49"/>
        <v>1793</v>
      </c>
      <c r="N199" s="86">
        <f t="shared" si="49"/>
        <v>2217</v>
      </c>
      <c r="O199" s="86">
        <f t="shared" si="49"/>
        <v>1710</v>
      </c>
      <c r="P199" s="87">
        <f t="shared" si="49"/>
        <v>31902</v>
      </c>
    </row>
    <row r="200" spans="1:17" ht="9.9" hidden="1" customHeight="1" x14ac:dyDescent="0.25">
      <c r="B200" s="88"/>
      <c r="C200" s="89" t="s">
        <v>129</v>
      </c>
      <c r="D200" s="102">
        <v>1372</v>
      </c>
      <c r="E200" s="102">
        <v>1177</v>
      </c>
      <c r="F200" s="90">
        <v>2918</v>
      </c>
      <c r="G200" s="103">
        <v>2116</v>
      </c>
      <c r="H200" s="90">
        <v>1416</v>
      </c>
      <c r="I200" s="100">
        <v>1776</v>
      </c>
      <c r="J200" s="101">
        <v>1503</v>
      </c>
      <c r="K200" s="93">
        <v>533</v>
      </c>
      <c r="L200" s="93">
        <v>1541</v>
      </c>
      <c r="M200" s="93">
        <v>1154</v>
      </c>
      <c r="N200" s="93">
        <v>1330</v>
      </c>
      <c r="O200" s="93">
        <v>1054</v>
      </c>
      <c r="P200" s="91">
        <f>SUM(D200:O200)</f>
        <v>17890</v>
      </c>
    </row>
    <row r="201" spans="1:17" ht="9.9" hidden="1" customHeight="1" x14ac:dyDescent="0.25">
      <c r="B201" s="88"/>
      <c r="C201" s="89" t="s">
        <v>144</v>
      </c>
      <c r="D201" s="102">
        <v>35</v>
      </c>
      <c r="E201" s="102">
        <v>213</v>
      </c>
      <c r="F201" s="90">
        <v>1391</v>
      </c>
      <c r="G201" s="103">
        <v>1232</v>
      </c>
      <c r="H201" s="90">
        <v>531</v>
      </c>
      <c r="I201" s="100">
        <v>737</v>
      </c>
      <c r="J201" s="100">
        <v>999</v>
      </c>
      <c r="K201" s="90">
        <v>870</v>
      </c>
      <c r="L201" s="90">
        <v>1053</v>
      </c>
      <c r="M201" s="90">
        <v>451</v>
      </c>
      <c r="N201" s="90">
        <v>376</v>
      </c>
      <c r="O201" s="90">
        <v>178</v>
      </c>
      <c r="P201" s="91">
        <f>SUM(D201:O201)</f>
        <v>8066</v>
      </c>
    </row>
    <row r="202" spans="1:17" ht="9.6" hidden="1" customHeight="1" x14ac:dyDescent="0.25">
      <c r="B202" s="92"/>
      <c r="C202" s="89" t="s">
        <v>143</v>
      </c>
      <c r="D202" s="102">
        <v>428</v>
      </c>
      <c r="E202" s="102">
        <v>69</v>
      </c>
      <c r="F202" s="90">
        <v>697</v>
      </c>
      <c r="G202" s="103">
        <v>940</v>
      </c>
      <c r="H202" s="90">
        <v>966</v>
      </c>
      <c r="I202" s="100">
        <v>563</v>
      </c>
      <c r="J202" s="100">
        <v>420</v>
      </c>
      <c r="K202" s="90">
        <v>171</v>
      </c>
      <c r="L202" s="90">
        <v>515</v>
      </c>
      <c r="M202" s="90">
        <v>188</v>
      </c>
      <c r="N202" s="90">
        <v>511</v>
      </c>
      <c r="O202" s="90">
        <v>478</v>
      </c>
      <c r="P202" s="91">
        <f>SUM(D202:O202)</f>
        <v>5946</v>
      </c>
    </row>
    <row r="203" spans="1:17" s="210" customFormat="1" ht="9.6" hidden="1" customHeight="1" x14ac:dyDescent="0.25">
      <c r="A203" s="205"/>
      <c r="B203" s="104"/>
      <c r="C203" s="104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8"/>
      <c r="Q203" s="209"/>
    </row>
    <row r="204" spans="1:17" ht="9.9" hidden="1" customHeight="1" x14ac:dyDescent="0.25">
      <c r="B204" s="84" t="s">
        <v>60</v>
      </c>
      <c r="C204" s="85"/>
      <c r="D204" s="86">
        <f t="shared" ref="D204:P204" si="50">SUM(D205:D207)</f>
        <v>1766</v>
      </c>
      <c r="E204" s="86">
        <f t="shared" si="50"/>
        <v>1534</v>
      </c>
      <c r="F204" s="86">
        <f t="shared" si="50"/>
        <v>2612</v>
      </c>
      <c r="G204" s="86">
        <f t="shared" si="50"/>
        <v>1718</v>
      </c>
      <c r="H204" s="86">
        <f t="shared" si="50"/>
        <v>2353</v>
      </c>
      <c r="I204" s="86">
        <f t="shared" si="50"/>
        <v>3115</v>
      </c>
      <c r="J204" s="86">
        <f t="shared" si="50"/>
        <v>1686</v>
      </c>
      <c r="K204" s="86">
        <f t="shared" si="50"/>
        <v>1664</v>
      </c>
      <c r="L204" s="86">
        <f t="shared" si="50"/>
        <v>2196</v>
      </c>
      <c r="M204" s="86">
        <f t="shared" si="50"/>
        <v>3063</v>
      </c>
      <c r="N204" s="86">
        <f t="shared" si="50"/>
        <v>7490</v>
      </c>
      <c r="O204" s="86">
        <f t="shared" si="50"/>
        <v>6947</v>
      </c>
      <c r="P204" s="87">
        <f t="shared" si="50"/>
        <v>36144</v>
      </c>
    </row>
    <row r="205" spans="1:17" ht="9.9" hidden="1" customHeight="1" x14ac:dyDescent="0.25">
      <c r="B205" s="88"/>
      <c r="C205" s="89" t="s">
        <v>156</v>
      </c>
      <c r="D205" s="102">
        <v>1766</v>
      </c>
      <c r="E205" s="102">
        <v>1534</v>
      </c>
      <c r="F205" s="90">
        <v>2612</v>
      </c>
      <c r="G205" s="103">
        <v>1718</v>
      </c>
      <c r="H205" s="90">
        <v>2353</v>
      </c>
      <c r="I205" s="100">
        <v>3115</v>
      </c>
      <c r="J205" s="101">
        <v>1686</v>
      </c>
      <c r="K205" s="93">
        <v>1664</v>
      </c>
      <c r="L205" s="93">
        <v>2191</v>
      </c>
      <c r="M205" s="93">
        <v>2221</v>
      </c>
      <c r="N205" s="93">
        <v>1276</v>
      </c>
      <c r="O205" s="93">
        <v>43</v>
      </c>
      <c r="P205" s="91">
        <f>SUM(D205:O205)</f>
        <v>22179</v>
      </c>
    </row>
    <row r="206" spans="1:17" ht="9.9" hidden="1" customHeight="1" x14ac:dyDescent="0.25">
      <c r="B206" s="88"/>
      <c r="C206" s="89" t="s">
        <v>157</v>
      </c>
      <c r="D206" s="102">
        <v>0</v>
      </c>
      <c r="E206" s="102">
        <v>0</v>
      </c>
      <c r="F206" s="90">
        <v>0</v>
      </c>
      <c r="G206" s="103">
        <v>0</v>
      </c>
      <c r="H206" s="90">
        <v>0</v>
      </c>
      <c r="I206" s="100">
        <v>0</v>
      </c>
      <c r="J206" s="100">
        <v>0</v>
      </c>
      <c r="K206" s="90">
        <v>0</v>
      </c>
      <c r="L206" s="90">
        <v>5</v>
      </c>
      <c r="M206" s="90">
        <v>472</v>
      </c>
      <c r="N206" s="90">
        <v>3231</v>
      </c>
      <c r="O206" s="90">
        <v>3651</v>
      </c>
      <c r="P206" s="91">
        <f>SUM(D206:O206)</f>
        <v>7359</v>
      </c>
    </row>
    <row r="207" spans="1:17" s="199" customFormat="1" ht="10.95" hidden="1" customHeight="1" x14ac:dyDescent="0.25">
      <c r="A207" s="20"/>
      <c r="B207" s="92"/>
      <c r="C207" s="89" t="s">
        <v>158</v>
      </c>
      <c r="D207" s="102">
        <v>0</v>
      </c>
      <c r="E207" s="102">
        <v>0</v>
      </c>
      <c r="F207" s="90">
        <v>0</v>
      </c>
      <c r="G207" s="103">
        <v>0</v>
      </c>
      <c r="H207" s="90">
        <v>0</v>
      </c>
      <c r="I207" s="100">
        <v>0</v>
      </c>
      <c r="J207" s="100">
        <v>0</v>
      </c>
      <c r="K207" s="90">
        <v>0</v>
      </c>
      <c r="L207" s="90">
        <v>0</v>
      </c>
      <c r="M207" s="90">
        <v>370</v>
      </c>
      <c r="N207" s="90">
        <v>2983</v>
      </c>
      <c r="O207" s="90">
        <v>3253</v>
      </c>
      <c r="P207" s="91">
        <f>SUM(D207:O207)</f>
        <v>6606</v>
      </c>
      <c r="Q207" s="198"/>
    </row>
    <row r="208" spans="1:17" ht="9" hidden="1" customHeight="1" x14ac:dyDescent="0.25">
      <c r="A208" s="205"/>
      <c r="B208" s="104"/>
      <c r="C208" s="104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8"/>
    </row>
    <row r="209" spans="1:17" ht="9.9" hidden="1" customHeight="1" x14ac:dyDescent="0.25">
      <c r="B209" s="84" t="s">
        <v>118</v>
      </c>
      <c r="C209" s="85"/>
      <c r="D209" s="86">
        <f t="shared" ref="D209:P209" si="51">SUM(D210:D211)</f>
        <v>1186</v>
      </c>
      <c r="E209" s="86">
        <f t="shared" si="51"/>
        <v>783</v>
      </c>
      <c r="F209" s="86">
        <f t="shared" si="51"/>
        <v>617</v>
      </c>
      <c r="G209" s="86">
        <f t="shared" si="51"/>
        <v>4416</v>
      </c>
      <c r="H209" s="86">
        <f t="shared" si="51"/>
        <v>7582</v>
      </c>
      <c r="I209" s="86">
        <f t="shared" si="51"/>
        <v>7905</v>
      </c>
      <c r="J209" s="86">
        <f t="shared" si="51"/>
        <v>6504</v>
      </c>
      <c r="K209" s="86">
        <f t="shared" si="51"/>
        <v>4100</v>
      </c>
      <c r="L209" s="86">
        <f t="shared" si="51"/>
        <v>6040</v>
      </c>
      <c r="M209" s="86">
        <f t="shared" si="51"/>
        <v>5268</v>
      </c>
      <c r="N209" s="86">
        <f t="shared" si="51"/>
        <v>5019</v>
      </c>
      <c r="O209" s="86">
        <f t="shared" si="51"/>
        <v>6730</v>
      </c>
      <c r="P209" s="87">
        <f t="shared" si="51"/>
        <v>56150</v>
      </c>
    </row>
    <row r="210" spans="1:17" ht="9.9" hidden="1" customHeight="1" x14ac:dyDescent="0.25">
      <c r="B210" s="88"/>
      <c r="C210" s="89" t="s">
        <v>151</v>
      </c>
      <c r="D210" s="102">
        <v>1186</v>
      </c>
      <c r="E210" s="102">
        <v>783</v>
      </c>
      <c r="F210" s="90">
        <v>546</v>
      </c>
      <c r="G210" s="103">
        <v>259</v>
      </c>
      <c r="H210" s="90">
        <v>66</v>
      </c>
      <c r="I210" s="100">
        <v>16</v>
      </c>
      <c r="J210" s="100">
        <v>40</v>
      </c>
      <c r="K210" s="90">
        <v>1</v>
      </c>
      <c r="L210" s="90">
        <v>0</v>
      </c>
      <c r="M210" s="90">
        <v>0</v>
      </c>
      <c r="N210" s="90">
        <v>0</v>
      </c>
      <c r="O210" s="90">
        <v>0</v>
      </c>
      <c r="P210" s="91">
        <f>SUM(D210:O210)</f>
        <v>2897</v>
      </c>
    </row>
    <row r="211" spans="1:17" s="16" customFormat="1" ht="10.95" hidden="1" customHeight="1" x14ac:dyDescent="0.25">
      <c r="A211" s="20"/>
      <c r="B211" s="92"/>
      <c r="C211" s="89" t="s">
        <v>152</v>
      </c>
      <c r="D211" s="102">
        <v>0</v>
      </c>
      <c r="E211" s="102">
        <v>0</v>
      </c>
      <c r="F211" s="102">
        <v>71</v>
      </c>
      <c r="G211" s="102">
        <v>4157</v>
      </c>
      <c r="H211" s="102">
        <v>7516</v>
      </c>
      <c r="I211" s="102">
        <v>7889</v>
      </c>
      <c r="J211" s="102">
        <v>6464</v>
      </c>
      <c r="K211" s="102">
        <v>4099</v>
      </c>
      <c r="L211" s="102">
        <v>6040</v>
      </c>
      <c r="M211" s="102">
        <v>5268</v>
      </c>
      <c r="N211" s="93">
        <v>5019</v>
      </c>
      <c r="O211" s="93">
        <v>6730</v>
      </c>
      <c r="P211" s="91">
        <f>SUM(D211:O211)</f>
        <v>53253</v>
      </c>
      <c r="Q211" s="115"/>
    </row>
    <row r="212" spans="1:17" ht="8.4" hidden="1" customHeight="1" x14ac:dyDescent="0.25">
      <c r="A212" s="193"/>
      <c r="B212" s="194"/>
      <c r="C212" s="194"/>
      <c r="D212" s="195"/>
      <c r="E212" s="195"/>
      <c r="F212" s="195"/>
      <c r="G212" s="195"/>
      <c r="H212" s="195"/>
      <c r="I212" s="195"/>
      <c r="J212" s="196"/>
      <c r="K212" s="196"/>
      <c r="L212" s="196"/>
      <c r="M212" s="196"/>
      <c r="N212" s="196"/>
      <c r="O212" s="196"/>
      <c r="P212" s="197"/>
    </row>
    <row r="213" spans="1:17" ht="12.75" hidden="1" customHeight="1" x14ac:dyDescent="0.25">
      <c r="B213" s="84" t="s">
        <v>12</v>
      </c>
      <c r="C213" s="85"/>
      <c r="D213" s="86">
        <f t="shared" ref="D213:P213" si="52">SUM(D214:D215)</f>
        <v>7480</v>
      </c>
      <c r="E213" s="86">
        <f t="shared" si="52"/>
        <v>7875</v>
      </c>
      <c r="F213" s="86">
        <f t="shared" si="52"/>
        <v>9174</v>
      </c>
      <c r="G213" s="86">
        <f t="shared" si="52"/>
        <v>7570</v>
      </c>
      <c r="H213" s="86">
        <f t="shared" si="52"/>
        <v>6322</v>
      </c>
      <c r="I213" s="86">
        <f t="shared" si="52"/>
        <v>7641</v>
      </c>
      <c r="J213" s="86">
        <f t="shared" si="52"/>
        <v>9172</v>
      </c>
      <c r="K213" s="86">
        <f t="shared" si="52"/>
        <v>7118</v>
      </c>
      <c r="L213" s="86">
        <f t="shared" si="52"/>
        <v>8995</v>
      </c>
      <c r="M213" s="86">
        <f t="shared" si="52"/>
        <v>8523</v>
      </c>
      <c r="N213" s="86">
        <f t="shared" si="52"/>
        <v>8062</v>
      </c>
      <c r="O213" s="86">
        <f t="shared" si="52"/>
        <v>7262</v>
      </c>
      <c r="P213" s="87">
        <f t="shared" si="52"/>
        <v>95194</v>
      </c>
    </row>
    <row r="214" spans="1:17" ht="12.75" hidden="1" customHeight="1" x14ac:dyDescent="0.25">
      <c r="B214" s="88"/>
      <c r="C214" s="89" t="s">
        <v>12</v>
      </c>
      <c r="D214" s="102">
        <v>7165</v>
      </c>
      <c r="E214" s="102">
        <v>6916</v>
      </c>
      <c r="F214" s="90">
        <v>8409</v>
      </c>
      <c r="G214" s="103">
        <v>6925</v>
      </c>
      <c r="H214" s="90">
        <v>5804</v>
      </c>
      <c r="I214" s="100">
        <v>7391</v>
      </c>
      <c r="J214" s="100">
        <v>8759</v>
      </c>
      <c r="K214" s="90">
        <v>6514</v>
      </c>
      <c r="L214" s="90">
        <v>7182</v>
      </c>
      <c r="M214" s="90">
        <v>7182</v>
      </c>
      <c r="N214" s="90">
        <v>7100</v>
      </c>
      <c r="O214" s="90">
        <v>6810</v>
      </c>
      <c r="P214" s="91">
        <f>SUM(D214:O214)</f>
        <v>86157</v>
      </c>
      <c r="Q214"/>
    </row>
    <row r="215" spans="1:17" ht="12.75" hidden="1" customHeight="1" x14ac:dyDescent="0.25">
      <c r="A215"/>
      <c r="B215" s="92"/>
      <c r="C215" s="89" t="s">
        <v>144</v>
      </c>
      <c r="D215" s="102">
        <v>315</v>
      </c>
      <c r="E215" s="102">
        <v>959</v>
      </c>
      <c r="F215" s="102">
        <v>765</v>
      </c>
      <c r="G215" s="102">
        <v>645</v>
      </c>
      <c r="H215" s="102">
        <v>518</v>
      </c>
      <c r="I215" s="102">
        <v>250</v>
      </c>
      <c r="J215" s="102">
        <v>413</v>
      </c>
      <c r="K215" s="102">
        <v>604</v>
      </c>
      <c r="L215" s="102">
        <v>1813</v>
      </c>
      <c r="M215" s="102">
        <v>1341</v>
      </c>
      <c r="N215" s="93">
        <v>962</v>
      </c>
      <c r="O215" s="93">
        <v>452</v>
      </c>
      <c r="P215" s="91">
        <f>SUM(D215:O215)</f>
        <v>9037</v>
      </c>
      <c r="Q215"/>
    </row>
    <row r="216" spans="1:17" ht="12.75" hidden="1" customHeight="1" x14ac:dyDescent="0.25">
      <c r="A216" s="16"/>
      <c r="B216" s="16"/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6"/>
      <c r="Q216"/>
    </row>
    <row r="217" spans="1:17" ht="12.75" hidden="1" customHeight="1" thickBot="1" x14ac:dyDescent="0.3">
      <c r="A217"/>
      <c r="B217" s="18" t="s">
        <v>136</v>
      </c>
      <c r="C217" s="18"/>
      <c r="Q217"/>
    </row>
    <row r="218" spans="1:17" ht="12.75" hidden="1" customHeight="1" thickBot="1" x14ac:dyDescent="0.3">
      <c r="A218"/>
      <c r="B218" s="408" t="s">
        <v>1</v>
      </c>
      <c r="C218" s="409"/>
      <c r="D218" s="21">
        <v>1</v>
      </c>
      <c r="E218" s="22">
        <v>2</v>
      </c>
      <c r="F218" s="22">
        <v>3</v>
      </c>
      <c r="G218" s="22">
        <v>4</v>
      </c>
      <c r="H218" s="22">
        <v>5</v>
      </c>
      <c r="I218" s="22">
        <v>6</v>
      </c>
      <c r="J218" s="22">
        <v>7</v>
      </c>
      <c r="K218" s="22">
        <v>8</v>
      </c>
      <c r="L218" s="22">
        <v>9</v>
      </c>
      <c r="M218" s="22">
        <v>10</v>
      </c>
      <c r="N218" s="22">
        <v>11</v>
      </c>
      <c r="O218" s="22">
        <v>12</v>
      </c>
      <c r="P218" s="23" t="s">
        <v>0</v>
      </c>
      <c r="Q218"/>
    </row>
    <row r="219" spans="1:17" ht="12.75" hidden="1" customHeight="1" x14ac:dyDescent="0.25">
      <c r="A219"/>
      <c r="B219" s="398" t="s">
        <v>46</v>
      </c>
      <c r="C219" s="177" t="s">
        <v>21</v>
      </c>
      <c r="D219" s="39">
        <v>406</v>
      </c>
      <c r="E219" s="40">
        <v>370</v>
      </c>
      <c r="F219" s="39">
        <v>415</v>
      </c>
      <c r="G219" s="40">
        <v>467</v>
      </c>
      <c r="H219" s="40">
        <v>399</v>
      </c>
      <c r="I219" s="40">
        <v>404</v>
      </c>
      <c r="J219" s="40">
        <v>391</v>
      </c>
      <c r="K219" s="40">
        <v>228</v>
      </c>
      <c r="L219" s="40">
        <v>215</v>
      </c>
      <c r="M219" s="40">
        <v>249</v>
      </c>
      <c r="N219" s="40">
        <v>447</v>
      </c>
      <c r="O219" s="40">
        <v>103</v>
      </c>
      <c r="P219" s="41">
        <f t="shared" ref="P219:P226" si="53">SUM(D219:O219)</f>
        <v>4094</v>
      </c>
      <c r="Q219"/>
    </row>
    <row r="220" spans="1:17" ht="12.75" hidden="1" customHeight="1" x14ac:dyDescent="0.25">
      <c r="A220"/>
      <c r="B220" s="399"/>
      <c r="C220" s="178" t="s">
        <v>22</v>
      </c>
      <c r="D220" s="78">
        <v>194</v>
      </c>
      <c r="E220" s="79">
        <v>181</v>
      </c>
      <c r="F220" s="78">
        <v>201</v>
      </c>
      <c r="G220" s="79">
        <v>150</v>
      </c>
      <c r="H220" s="79">
        <v>293</v>
      </c>
      <c r="I220" s="79">
        <v>232</v>
      </c>
      <c r="J220" s="79">
        <v>178</v>
      </c>
      <c r="K220" s="79">
        <v>161</v>
      </c>
      <c r="L220" s="81">
        <v>131</v>
      </c>
      <c r="M220" s="79">
        <v>127</v>
      </c>
      <c r="N220" s="79">
        <v>159</v>
      </c>
      <c r="O220" s="79">
        <v>168</v>
      </c>
      <c r="P220" s="80">
        <f t="shared" si="53"/>
        <v>2175</v>
      </c>
      <c r="Q220"/>
    </row>
    <row r="221" spans="1:17" ht="12.75" hidden="1" customHeight="1" x14ac:dyDescent="0.25">
      <c r="A221"/>
      <c r="B221" s="399"/>
      <c r="C221" s="178" t="s">
        <v>24</v>
      </c>
      <c r="D221" s="78">
        <v>5428</v>
      </c>
      <c r="E221" s="78">
        <v>4973</v>
      </c>
      <c r="F221" s="78">
        <v>5603</v>
      </c>
      <c r="G221" s="78">
        <v>5774</v>
      </c>
      <c r="H221" s="78">
        <v>4752</v>
      </c>
      <c r="I221" s="78">
        <v>5654</v>
      </c>
      <c r="J221" s="78">
        <v>5428</v>
      </c>
      <c r="K221" s="78">
        <v>4893</v>
      </c>
      <c r="L221" s="78">
        <v>4900</v>
      </c>
      <c r="M221" s="78">
        <v>6571</v>
      </c>
      <c r="N221" s="78">
        <v>4475</v>
      </c>
      <c r="O221" s="78">
        <v>3653</v>
      </c>
      <c r="P221" s="31">
        <f t="shared" si="53"/>
        <v>62104</v>
      </c>
      <c r="Q221"/>
    </row>
    <row r="222" spans="1:17" ht="12.75" hidden="1" customHeight="1" x14ac:dyDescent="0.25">
      <c r="A222"/>
      <c r="B222" s="399"/>
      <c r="C222" s="178" t="s">
        <v>69</v>
      </c>
      <c r="D222" s="78">
        <v>136</v>
      </c>
      <c r="E222" s="78">
        <v>283</v>
      </c>
      <c r="F222" s="78">
        <v>623</v>
      </c>
      <c r="G222" s="78">
        <v>498</v>
      </c>
      <c r="H222" s="78">
        <v>423</v>
      </c>
      <c r="I222" s="78">
        <v>713</v>
      </c>
      <c r="J222" s="78">
        <v>705</v>
      </c>
      <c r="K222" s="78">
        <v>679</v>
      </c>
      <c r="L222" s="78">
        <v>624</v>
      </c>
      <c r="M222" s="78">
        <v>457</v>
      </c>
      <c r="N222" s="78">
        <v>352</v>
      </c>
      <c r="O222" s="78">
        <v>534</v>
      </c>
      <c r="P222" s="27">
        <f t="shared" si="53"/>
        <v>6027</v>
      </c>
      <c r="Q222"/>
    </row>
    <row r="223" spans="1:17" ht="12.75" hidden="1" customHeight="1" x14ac:dyDescent="0.25">
      <c r="A223"/>
      <c r="B223" s="399"/>
      <c r="C223" s="179" t="s">
        <v>3</v>
      </c>
      <c r="D223" s="29">
        <v>158</v>
      </c>
      <c r="E223" s="30">
        <v>106</v>
      </c>
      <c r="F223" s="29">
        <v>205</v>
      </c>
      <c r="G223" s="30">
        <v>149</v>
      </c>
      <c r="H223" s="30">
        <v>150</v>
      </c>
      <c r="I223" s="30">
        <v>84</v>
      </c>
      <c r="J223" s="30">
        <v>92</v>
      </c>
      <c r="K223" s="30">
        <v>142</v>
      </c>
      <c r="L223" s="32">
        <v>109</v>
      </c>
      <c r="M223" s="30">
        <v>82</v>
      </c>
      <c r="N223" s="30">
        <v>85</v>
      </c>
      <c r="O223" s="30">
        <v>65</v>
      </c>
      <c r="P223" s="80">
        <f t="shared" si="53"/>
        <v>1427</v>
      </c>
      <c r="Q223"/>
    </row>
    <row r="224" spans="1:17" ht="12.75" hidden="1" customHeight="1" x14ac:dyDescent="0.25">
      <c r="A224"/>
      <c r="B224" s="399"/>
      <c r="C224" s="180" t="s">
        <v>25</v>
      </c>
      <c r="D224" s="76">
        <v>4541</v>
      </c>
      <c r="E224" s="76">
        <v>5680</v>
      </c>
      <c r="F224" s="76">
        <v>6036</v>
      </c>
      <c r="G224" s="76">
        <v>8836</v>
      </c>
      <c r="H224" s="76">
        <v>13376</v>
      </c>
      <c r="I224" s="76">
        <v>9822</v>
      </c>
      <c r="J224" s="76">
        <v>8071</v>
      </c>
      <c r="K224" s="76">
        <v>8393</v>
      </c>
      <c r="L224" s="76">
        <v>7156</v>
      </c>
      <c r="M224" s="76">
        <v>10688</v>
      </c>
      <c r="N224" s="76">
        <v>8832</v>
      </c>
      <c r="O224" s="76">
        <v>8572</v>
      </c>
      <c r="P224" s="80">
        <f t="shared" si="53"/>
        <v>100003</v>
      </c>
      <c r="Q224"/>
    </row>
    <row r="225" spans="1:17" ht="12.75" hidden="1" customHeight="1" x14ac:dyDescent="0.25">
      <c r="A225"/>
      <c r="B225" s="399"/>
      <c r="C225" s="180" t="s">
        <v>44</v>
      </c>
      <c r="D225" s="76">
        <v>7</v>
      </c>
      <c r="E225" s="76">
        <v>14</v>
      </c>
      <c r="F225" s="76">
        <v>16</v>
      </c>
      <c r="G225" s="76">
        <v>6</v>
      </c>
      <c r="H225" s="76">
        <v>16</v>
      </c>
      <c r="I225" s="76">
        <v>2</v>
      </c>
      <c r="J225" s="76">
        <v>0</v>
      </c>
      <c r="K225" s="76">
        <v>2</v>
      </c>
      <c r="L225" s="76">
        <v>0</v>
      </c>
      <c r="M225" s="76">
        <v>0</v>
      </c>
      <c r="N225" s="76">
        <v>0</v>
      </c>
      <c r="O225" s="76">
        <v>0</v>
      </c>
      <c r="P225" s="80">
        <f t="shared" si="53"/>
        <v>63</v>
      </c>
      <c r="Q225"/>
    </row>
    <row r="226" spans="1:17" ht="12.75" hidden="1" customHeight="1" x14ac:dyDescent="0.25">
      <c r="A226"/>
      <c r="B226" s="399"/>
      <c r="C226" s="181" t="s">
        <v>27</v>
      </c>
      <c r="D226" s="74">
        <v>10077</v>
      </c>
      <c r="E226" s="74">
        <v>7720</v>
      </c>
      <c r="F226" s="74">
        <v>10531</v>
      </c>
      <c r="G226" s="74">
        <v>10135</v>
      </c>
      <c r="H226" s="74">
        <v>8327</v>
      </c>
      <c r="I226" s="74">
        <v>6652</v>
      </c>
      <c r="J226" s="74">
        <v>6135</v>
      </c>
      <c r="K226" s="74">
        <v>5514</v>
      </c>
      <c r="L226" s="74">
        <v>4814</v>
      </c>
      <c r="M226" s="74">
        <v>9867</v>
      </c>
      <c r="N226" s="74">
        <v>10407</v>
      </c>
      <c r="O226" s="74">
        <v>13170</v>
      </c>
      <c r="P226" s="80">
        <f t="shared" si="53"/>
        <v>103349</v>
      </c>
      <c r="Q226"/>
    </row>
    <row r="227" spans="1:17" ht="12.75" hidden="1" customHeight="1" thickBot="1" x14ac:dyDescent="0.3">
      <c r="A227"/>
      <c r="B227" s="394"/>
      <c r="C227" s="183" t="s">
        <v>0</v>
      </c>
      <c r="D227" s="43">
        <f t="shared" ref="D227:P227" si="54">SUM(D219:D226)</f>
        <v>20947</v>
      </c>
      <c r="E227" s="43">
        <f t="shared" si="54"/>
        <v>19327</v>
      </c>
      <c r="F227" s="43">
        <f t="shared" si="54"/>
        <v>23630</v>
      </c>
      <c r="G227" s="43">
        <f t="shared" si="54"/>
        <v>26015</v>
      </c>
      <c r="H227" s="43">
        <f t="shared" si="54"/>
        <v>27736</v>
      </c>
      <c r="I227" s="43">
        <f t="shared" si="54"/>
        <v>23563</v>
      </c>
      <c r="J227" s="43">
        <f t="shared" si="54"/>
        <v>21000</v>
      </c>
      <c r="K227" s="43">
        <f t="shared" si="54"/>
        <v>20012</v>
      </c>
      <c r="L227" s="43">
        <f t="shared" si="54"/>
        <v>17949</v>
      </c>
      <c r="M227" s="43">
        <f t="shared" si="54"/>
        <v>28041</v>
      </c>
      <c r="N227" s="43">
        <f t="shared" si="54"/>
        <v>24757</v>
      </c>
      <c r="O227" s="43">
        <f t="shared" si="54"/>
        <v>26265</v>
      </c>
      <c r="P227" s="44">
        <f t="shared" si="54"/>
        <v>279242</v>
      </c>
      <c r="Q227"/>
    </row>
    <row r="228" spans="1:17" ht="12.75" hidden="1" customHeight="1" x14ac:dyDescent="0.25">
      <c r="A228"/>
      <c r="B228" s="396" t="s">
        <v>45</v>
      </c>
      <c r="C228" s="177" t="s">
        <v>139</v>
      </c>
      <c r="D228" s="39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1753</v>
      </c>
      <c r="K228" s="40">
        <v>3701</v>
      </c>
      <c r="L228" s="40">
        <v>3690</v>
      </c>
      <c r="M228" s="40">
        <v>2645</v>
      </c>
      <c r="N228" s="40">
        <v>1977</v>
      </c>
      <c r="O228" s="40">
        <v>3101</v>
      </c>
      <c r="P228" s="41">
        <f t="shared" ref="P228:P233" si="55">SUM(D228:O228)</f>
        <v>16867</v>
      </c>
      <c r="Q228"/>
    </row>
    <row r="229" spans="1:17" ht="12.75" hidden="1" customHeight="1" x14ac:dyDescent="0.25">
      <c r="A229"/>
      <c r="B229" s="396"/>
      <c r="C229" s="184" t="s">
        <v>114</v>
      </c>
      <c r="D229" s="25">
        <v>2310</v>
      </c>
      <c r="E229" s="26">
        <v>1955</v>
      </c>
      <c r="F229" s="26">
        <v>4529</v>
      </c>
      <c r="G229" s="26">
        <v>4730</v>
      </c>
      <c r="H229" s="26">
        <v>4328</v>
      </c>
      <c r="I229" s="26">
        <v>3634</v>
      </c>
      <c r="J229" s="26">
        <v>3187</v>
      </c>
      <c r="K229" s="26">
        <v>2474</v>
      </c>
      <c r="L229" s="26">
        <v>3636</v>
      </c>
      <c r="M229" s="26">
        <v>4421</v>
      </c>
      <c r="N229" s="26">
        <v>3720</v>
      </c>
      <c r="O229" s="26">
        <v>3725</v>
      </c>
      <c r="P229" s="27">
        <f t="shared" si="55"/>
        <v>42649</v>
      </c>
      <c r="Q229"/>
    </row>
    <row r="230" spans="1:17" ht="12.75" hidden="1" customHeight="1" x14ac:dyDescent="0.25">
      <c r="A230"/>
      <c r="B230" s="396"/>
      <c r="C230" s="184" t="s">
        <v>60</v>
      </c>
      <c r="D230" s="25">
        <v>3651</v>
      </c>
      <c r="E230" s="26">
        <v>2638</v>
      </c>
      <c r="F230" s="26">
        <v>3693</v>
      </c>
      <c r="G230" s="26">
        <v>3860</v>
      </c>
      <c r="H230" s="26">
        <v>3264</v>
      </c>
      <c r="I230" s="26">
        <v>2976</v>
      </c>
      <c r="J230" s="26">
        <v>3183</v>
      </c>
      <c r="K230" s="26">
        <v>2583</v>
      </c>
      <c r="L230" s="26">
        <v>1620</v>
      </c>
      <c r="M230" s="26">
        <v>2474</v>
      </c>
      <c r="N230" s="26">
        <v>3279</v>
      </c>
      <c r="O230" s="26">
        <v>3537</v>
      </c>
      <c r="P230" s="27">
        <f t="shared" si="55"/>
        <v>36758</v>
      </c>
      <c r="Q230"/>
    </row>
    <row r="231" spans="1:17" ht="12.75" hidden="1" customHeight="1" x14ac:dyDescent="0.25">
      <c r="A231"/>
      <c r="B231" s="396"/>
      <c r="C231" s="184" t="s">
        <v>125</v>
      </c>
      <c r="D231" s="25">
        <v>21</v>
      </c>
      <c r="E231" s="26">
        <v>72</v>
      </c>
      <c r="F231" s="26">
        <v>151</v>
      </c>
      <c r="G231" s="26">
        <v>363</v>
      </c>
      <c r="H231" s="26">
        <v>461</v>
      </c>
      <c r="I231" s="26">
        <v>478</v>
      </c>
      <c r="J231" s="26">
        <v>352</v>
      </c>
      <c r="K231" s="26">
        <v>247</v>
      </c>
      <c r="L231" s="26">
        <v>454</v>
      </c>
      <c r="M231" s="26">
        <v>608</v>
      </c>
      <c r="N231" s="26">
        <v>699</v>
      </c>
      <c r="O231" s="26">
        <v>288</v>
      </c>
      <c r="P231" s="200">
        <f t="shared" si="55"/>
        <v>4194</v>
      </c>
      <c r="Q231"/>
    </row>
    <row r="232" spans="1:17" ht="12.75" hidden="1" customHeight="1" x14ac:dyDescent="0.25">
      <c r="A232"/>
      <c r="B232" s="396"/>
      <c r="C232" s="179" t="s">
        <v>8</v>
      </c>
      <c r="D232" s="29">
        <v>7001</v>
      </c>
      <c r="E232" s="30">
        <v>7023</v>
      </c>
      <c r="F232" s="30">
        <v>8231</v>
      </c>
      <c r="G232" s="30">
        <v>6759</v>
      </c>
      <c r="H232" s="30">
        <v>6882</v>
      </c>
      <c r="I232" s="30">
        <v>8192</v>
      </c>
      <c r="J232" s="30">
        <v>7393</v>
      </c>
      <c r="K232" s="30">
        <v>6858</v>
      </c>
      <c r="L232" s="30">
        <v>7813</v>
      </c>
      <c r="M232" s="30">
        <v>6676</v>
      </c>
      <c r="N232" s="30">
        <v>7001</v>
      </c>
      <c r="O232" s="30">
        <v>6369</v>
      </c>
      <c r="P232" s="80">
        <f t="shared" si="55"/>
        <v>86198</v>
      </c>
      <c r="Q232"/>
    </row>
    <row r="233" spans="1:17" ht="12.75" hidden="1" customHeight="1" x14ac:dyDescent="0.25">
      <c r="A233"/>
      <c r="B233" s="396"/>
      <c r="C233" s="179" t="s">
        <v>134</v>
      </c>
      <c r="D233" s="29">
        <v>5903</v>
      </c>
      <c r="E233" s="30">
        <v>5769</v>
      </c>
      <c r="F233" s="30">
        <v>6377</v>
      </c>
      <c r="G233" s="30">
        <v>6583</v>
      </c>
      <c r="H233" s="30">
        <v>3743</v>
      </c>
      <c r="I233" s="30">
        <v>3127</v>
      </c>
      <c r="J233" s="30">
        <v>3660</v>
      </c>
      <c r="K233" s="30">
        <v>2304</v>
      </c>
      <c r="L233" s="30">
        <v>2241</v>
      </c>
      <c r="M233" s="30">
        <v>3087</v>
      </c>
      <c r="N233" s="30">
        <v>4137</v>
      </c>
      <c r="O233" s="30">
        <v>5368</v>
      </c>
      <c r="P233" s="31">
        <f t="shared" si="55"/>
        <v>52299</v>
      </c>
      <c r="Q233"/>
    </row>
    <row r="234" spans="1:17" ht="12.75" hidden="1" customHeight="1" thickBot="1" x14ac:dyDescent="0.3">
      <c r="A234"/>
      <c r="B234" s="400"/>
      <c r="C234" s="185" t="s">
        <v>0</v>
      </c>
      <c r="D234" s="36">
        <f t="shared" ref="D234:P234" si="56">SUM(D228:D233)</f>
        <v>18886</v>
      </c>
      <c r="E234" s="36">
        <f t="shared" si="56"/>
        <v>17457</v>
      </c>
      <c r="F234" s="36">
        <f t="shared" si="56"/>
        <v>22981</v>
      </c>
      <c r="G234" s="36">
        <f t="shared" si="56"/>
        <v>22295</v>
      </c>
      <c r="H234" s="36">
        <f t="shared" si="56"/>
        <v>18678</v>
      </c>
      <c r="I234" s="36">
        <f t="shared" si="56"/>
        <v>18407</v>
      </c>
      <c r="J234" s="36">
        <f t="shared" si="56"/>
        <v>19528</v>
      </c>
      <c r="K234" s="36">
        <f t="shared" si="56"/>
        <v>18167</v>
      </c>
      <c r="L234" s="36">
        <f t="shared" si="56"/>
        <v>19454</v>
      </c>
      <c r="M234" s="36">
        <f t="shared" si="56"/>
        <v>19911</v>
      </c>
      <c r="N234" s="36">
        <f t="shared" si="56"/>
        <v>20813</v>
      </c>
      <c r="O234" s="36">
        <f t="shared" si="56"/>
        <v>22388</v>
      </c>
      <c r="P234" s="37">
        <f t="shared" si="56"/>
        <v>238965</v>
      </c>
      <c r="Q234"/>
    </row>
    <row r="235" spans="1:17" ht="12.75" hidden="1" customHeight="1" x14ac:dyDescent="0.25">
      <c r="A235"/>
      <c r="B235" s="392" t="s">
        <v>9</v>
      </c>
      <c r="C235" s="177" t="s">
        <v>11</v>
      </c>
      <c r="D235" s="39">
        <v>4179</v>
      </c>
      <c r="E235" s="40">
        <v>3581</v>
      </c>
      <c r="F235" s="40">
        <v>4937</v>
      </c>
      <c r="G235" s="40">
        <v>4303</v>
      </c>
      <c r="H235" s="40">
        <v>3667</v>
      </c>
      <c r="I235" s="40">
        <v>3033</v>
      </c>
      <c r="J235" s="40">
        <v>3054</v>
      </c>
      <c r="K235" s="40">
        <v>1463</v>
      </c>
      <c r="L235" s="40">
        <v>2163</v>
      </c>
      <c r="M235" s="40">
        <v>3734</v>
      </c>
      <c r="N235" s="40">
        <v>3344</v>
      </c>
      <c r="O235" s="40">
        <v>3409</v>
      </c>
      <c r="P235" s="41">
        <f>SUM(D235:O235)</f>
        <v>40867</v>
      </c>
      <c r="Q235"/>
    </row>
    <row r="236" spans="1:17" ht="12.75" hidden="1" customHeight="1" x14ac:dyDescent="0.25">
      <c r="A236"/>
      <c r="B236" s="393"/>
      <c r="C236" s="184" t="s">
        <v>12</v>
      </c>
      <c r="D236" s="25">
        <v>8951</v>
      </c>
      <c r="E236" s="26">
        <v>6797</v>
      </c>
      <c r="F236" s="26">
        <v>9412</v>
      </c>
      <c r="G236" s="26">
        <v>9502</v>
      </c>
      <c r="H236" s="26">
        <v>9254</v>
      </c>
      <c r="I236" s="26">
        <v>9180</v>
      </c>
      <c r="J236" s="26">
        <v>10355</v>
      </c>
      <c r="K236" s="26">
        <v>6971</v>
      </c>
      <c r="L236" s="26">
        <v>5094</v>
      </c>
      <c r="M236" s="26">
        <v>7041</v>
      </c>
      <c r="N236" s="26">
        <v>8402</v>
      </c>
      <c r="O236" s="26">
        <f>7442+124</f>
        <v>7566</v>
      </c>
      <c r="P236" s="27">
        <f>SUM(D236:O236)</f>
        <v>98525</v>
      </c>
      <c r="Q236"/>
    </row>
    <row r="237" spans="1:17" ht="12.75" hidden="1" customHeight="1" thickBot="1" x14ac:dyDescent="0.3">
      <c r="A237"/>
      <c r="B237" s="394"/>
      <c r="C237" s="183" t="s">
        <v>0</v>
      </c>
      <c r="D237" s="43">
        <f t="shared" ref="D237:L237" si="57">SUM(D235:D236)</f>
        <v>13130</v>
      </c>
      <c r="E237" s="43">
        <f t="shared" si="57"/>
        <v>10378</v>
      </c>
      <c r="F237" s="43">
        <f t="shared" si="57"/>
        <v>14349</v>
      </c>
      <c r="G237" s="43">
        <f t="shared" si="57"/>
        <v>13805</v>
      </c>
      <c r="H237" s="43">
        <f t="shared" si="57"/>
        <v>12921</v>
      </c>
      <c r="I237" s="43">
        <f t="shared" si="57"/>
        <v>12213</v>
      </c>
      <c r="J237" s="43">
        <f t="shared" si="57"/>
        <v>13409</v>
      </c>
      <c r="K237" s="43">
        <f t="shared" si="57"/>
        <v>8434</v>
      </c>
      <c r="L237" s="43">
        <f t="shared" si="57"/>
        <v>7257</v>
      </c>
      <c r="M237" s="43">
        <f>SUM(M235:M236)</f>
        <v>10775</v>
      </c>
      <c r="N237" s="43">
        <f>SUM(N235:N236)</f>
        <v>11746</v>
      </c>
      <c r="O237" s="43">
        <f>SUM(O235:O236)</f>
        <v>10975</v>
      </c>
      <c r="P237" s="44">
        <f>SUM(P235:P236)</f>
        <v>139392</v>
      </c>
      <c r="Q237"/>
    </row>
    <row r="238" spans="1:17" ht="12.75" hidden="1" customHeight="1" x14ac:dyDescent="0.25">
      <c r="A238"/>
      <c r="B238" s="392" t="s">
        <v>10</v>
      </c>
      <c r="C238" s="177" t="s">
        <v>13</v>
      </c>
      <c r="D238" s="39">
        <v>634</v>
      </c>
      <c r="E238" s="40">
        <v>652</v>
      </c>
      <c r="F238" s="40">
        <v>878</v>
      </c>
      <c r="G238" s="40">
        <v>917</v>
      </c>
      <c r="H238" s="40">
        <v>838</v>
      </c>
      <c r="I238" s="40">
        <v>689</v>
      </c>
      <c r="J238" s="40">
        <v>702</v>
      </c>
      <c r="K238" s="40">
        <v>522</v>
      </c>
      <c r="L238" s="40">
        <v>656</v>
      </c>
      <c r="M238" s="40">
        <v>761</v>
      </c>
      <c r="N238" s="40">
        <v>667</v>
      </c>
      <c r="O238" s="40">
        <v>743</v>
      </c>
      <c r="P238" s="41">
        <f>SUM(D238:O238)</f>
        <v>8659</v>
      </c>
      <c r="Q238"/>
    </row>
    <row r="239" spans="1:17" ht="12.75" hidden="1" customHeight="1" x14ac:dyDescent="0.25">
      <c r="A239"/>
      <c r="B239" s="393"/>
      <c r="C239" s="184" t="s">
        <v>14</v>
      </c>
      <c r="D239" s="25">
        <v>1569</v>
      </c>
      <c r="E239" s="26">
        <v>1449</v>
      </c>
      <c r="F239" s="26">
        <v>1947</v>
      </c>
      <c r="G239" s="26">
        <v>1983</v>
      </c>
      <c r="H239" s="26">
        <v>1862</v>
      </c>
      <c r="I239" s="26">
        <v>1714</v>
      </c>
      <c r="J239" s="26">
        <v>1498</v>
      </c>
      <c r="K239" s="26">
        <v>1181</v>
      </c>
      <c r="L239" s="26">
        <v>1244</v>
      </c>
      <c r="M239" s="26">
        <v>1539</v>
      </c>
      <c r="N239" s="26">
        <v>1538</v>
      </c>
      <c r="O239" s="26">
        <v>1259</v>
      </c>
      <c r="P239" s="27">
        <f>SUM(D239:O239)</f>
        <v>18783</v>
      </c>
      <c r="Q239"/>
    </row>
    <row r="240" spans="1:17" ht="12.75" hidden="1" customHeight="1" thickBot="1" x14ac:dyDescent="0.3">
      <c r="A240"/>
      <c r="B240" s="394"/>
      <c r="C240" s="183" t="s">
        <v>0</v>
      </c>
      <c r="D240" s="43">
        <f t="shared" ref="D240:P240" si="58">SUM(D238:D239)</f>
        <v>2203</v>
      </c>
      <c r="E240" s="43">
        <f t="shared" si="58"/>
        <v>2101</v>
      </c>
      <c r="F240" s="43">
        <f t="shared" si="58"/>
        <v>2825</v>
      </c>
      <c r="G240" s="43">
        <f t="shared" si="58"/>
        <v>2900</v>
      </c>
      <c r="H240" s="43">
        <f t="shared" si="58"/>
        <v>2700</v>
      </c>
      <c r="I240" s="43">
        <f t="shared" si="58"/>
        <v>2403</v>
      </c>
      <c r="J240" s="43">
        <f t="shared" si="58"/>
        <v>2200</v>
      </c>
      <c r="K240" s="43">
        <f t="shared" si="58"/>
        <v>1703</v>
      </c>
      <c r="L240" s="43">
        <f t="shared" si="58"/>
        <v>1900</v>
      </c>
      <c r="M240" s="43">
        <f t="shared" si="58"/>
        <v>2300</v>
      </c>
      <c r="N240" s="43">
        <f t="shared" si="58"/>
        <v>2205</v>
      </c>
      <c r="O240" s="43">
        <f t="shared" si="58"/>
        <v>2002</v>
      </c>
      <c r="P240" s="44">
        <f t="shared" si="58"/>
        <v>27442</v>
      </c>
      <c r="Q240"/>
    </row>
    <row r="241" spans="1:17" ht="4.5" hidden="1" customHeight="1" x14ac:dyDescent="0.25">
      <c r="A241"/>
      <c r="B241" s="401" t="s">
        <v>4</v>
      </c>
      <c r="C241" s="186" t="s">
        <v>116</v>
      </c>
      <c r="D241" s="158">
        <v>1408</v>
      </c>
      <c r="E241" s="158">
        <v>1310</v>
      </c>
      <c r="F241" s="158">
        <v>1757</v>
      </c>
      <c r="G241" s="158">
        <v>1662</v>
      </c>
      <c r="H241" s="158">
        <v>1557</v>
      </c>
      <c r="I241" s="158">
        <v>1382</v>
      </c>
      <c r="J241" s="158">
        <v>1270</v>
      </c>
      <c r="K241" s="158">
        <v>1471</v>
      </c>
      <c r="L241" s="158">
        <v>1150</v>
      </c>
      <c r="M241" s="158">
        <v>1164</v>
      </c>
      <c r="N241" s="158">
        <v>1339</v>
      </c>
      <c r="O241" s="158">
        <v>1505</v>
      </c>
      <c r="P241" s="159">
        <f>SUM(D241:O241)</f>
        <v>16975</v>
      </c>
      <c r="Q241"/>
    </row>
    <row r="242" spans="1:17" hidden="1" x14ac:dyDescent="0.25">
      <c r="A242"/>
      <c r="B242" s="402"/>
      <c r="C242" s="187" t="s">
        <v>118</v>
      </c>
      <c r="D242" s="134">
        <v>2479</v>
      </c>
      <c r="E242" s="134">
        <v>1873</v>
      </c>
      <c r="F242" s="134">
        <v>2195</v>
      </c>
      <c r="G242" s="134">
        <v>1930</v>
      </c>
      <c r="H242" s="134">
        <v>1958</v>
      </c>
      <c r="I242" s="134">
        <v>1853</v>
      </c>
      <c r="J242" s="134">
        <v>1726</v>
      </c>
      <c r="K242" s="134">
        <v>2071</v>
      </c>
      <c r="L242" s="134">
        <v>1496</v>
      </c>
      <c r="M242" s="134">
        <v>1786</v>
      </c>
      <c r="N242" s="134">
        <v>1214</v>
      </c>
      <c r="O242" s="134">
        <v>1703</v>
      </c>
      <c r="P242" s="135">
        <f>SUM(D242:O242)</f>
        <v>22284</v>
      </c>
    </row>
    <row r="243" spans="1:17" ht="9.75" hidden="1" customHeight="1" x14ac:dyDescent="0.25">
      <c r="A243"/>
      <c r="B243" s="402"/>
      <c r="C243" s="179" t="s">
        <v>130</v>
      </c>
      <c r="D243" s="29">
        <v>1387</v>
      </c>
      <c r="E243" s="30">
        <v>960</v>
      </c>
      <c r="F243" s="30">
        <v>2374</v>
      </c>
      <c r="G243" s="30">
        <v>2806</v>
      </c>
      <c r="H243" s="30">
        <v>2206</v>
      </c>
      <c r="I243" s="30">
        <v>1166</v>
      </c>
      <c r="J243" s="30">
        <v>1153</v>
      </c>
      <c r="K243" s="30">
        <v>1039</v>
      </c>
      <c r="L243" s="30">
        <v>933</v>
      </c>
      <c r="M243" s="30">
        <v>935</v>
      </c>
      <c r="N243" s="30">
        <v>1086</v>
      </c>
      <c r="O243" s="30">
        <v>1497</v>
      </c>
      <c r="P243" s="31">
        <f>SUM(D243:O243)</f>
        <v>17542</v>
      </c>
    </row>
    <row r="244" spans="1:17" ht="9.75" hidden="1" customHeight="1" thickBot="1" x14ac:dyDescent="0.3">
      <c r="A244"/>
      <c r="B244" s="403"/>
      <c r="C244" s="42" t="s">
        <v>0</v>
      </c>
      <c r="D244" s="43">
        <f>SUM(D241:D243)</f>
        <v>5274</v>
      </c>
      <c r="E244" s="43">
        <f t="shared" ref="E244:P244" si="59">SUM(E241:E243)</f>
        <v>4143</v>
      </c>
      <c r="F244" s="43">
        <f t="shared" si="59"/>
        <v>6326</v>
      </c>
      <c r="G244" s="43">
        <f t="shared" si="59"/>
        <v>6398</v>
      </c>
      <c r="H244" s="43">
        <f t="shared" si="59"/>
        <v>5721</v>
      </c>
      <c r="I244" s="43">
        <f t="shared" si="59"/>
        <v>4401</v>
      </c>
      <c r="J244" s="43">
        <f t="shared" si="59"/>
        <v>4149</v>
      </c>
      <c r="K244" s="43">
        <f t="shared" si="59"/>
        <v>4581</v>
      </c>
      <c r="L244" s="43">
        <f t="shared" si="59"/>
        <v>3579</v>
      </c>
      <c r="M244" s="43">
        <f t="shared" si="59"/>
        <v>3885</v>
      </c>
      <c r="N244" s="43">
        <f t="shared" si="59"/>
        <v>3639</v>
      </c>
      <c r="O244" s="43">
        <f t="shared" si="59"/>
        <v>4705</v>
      </c>
      <c r="P244" s="43">
        <f t="shared" si="59"/>
        <v>56801</v>
      </c>
    </row>
    <row r="245" spans="1:17" ht="4.5" hidden="1" customHeight="1" thickBot="1" x14ac:dyDescent="0.3">
      <c r="A245"/>
      <c r="B245" s="406" t="s">
        <v>2</v>
      </c>
      <c r="C245" s="407"/>
      <c r="D245" s="45">
        <f t="shared" ref="D245:O245" si="60">D227+D234+D240+D237+D244</f>
        <v>60440</v>
      </c>
      <c r="E245" s="45">
        <f t="shared" si="60"/>
        <v>53406</v>
      </c>
      <c r="F245" s="45">
        <f t="shared" si="60"/>
        <v>70111</v>
      </c>
      <c r="G245" s="45">
        <f t="shared" si="60"/>
        <v>71413</v>
      </c>
      <c r="H245" s="45">
        <f t="shared" si="60"/>
        <v>67756</v>
      </c>
      <c r="I245" s="45">
        <f t="shared" si="60"/>
        <v>60987</v>
      </c>
      <c r="J245" s="45">
        <f t="shared" si="60"/>
        <v>60286</v>
      </c>
      <c r="K245" s="45">
        <f t="shared" si="60"/>
        <v>52897</v>
      </c>
      <c r="L245" s="45">
        <f t="shared" si="60"/>
        <v>50139</v>
      </c>
      <c r="M245" s="45">
        <f t="shared" si="60"/>
        <v>64912</v>
      </c>
      <c r="N245" s="45">
        <f t="shared" si="60"/>
        <v>63160</v>
      </c>
      <c r="O245" s="45">
        <f t="shared" si="60"/>
        <v>66335</v>
      </c>
      <c r="P245" s="45">
        <f>SUM(P227,P234,P244,P237,P240)</f>
        <v>741842</v>
      </c>
      <c r="Q245"/>
    </row>
    <row r="246" spans="1:17" hidden="1" x14ac:dyDescent="0.25">
      <c r="A246"/>
      <c r="J246" s="118"/>
    </row>
    <row r="247" spans="1:17" ht="9.9" hidden="1" customHeight="1" x14ac:dyDescent="0.25">
      <c r="A247"/>
      <c r="B247" s="84" t="s">
        <v>69</v>
      </c>
      <c r="C247" s="85"/>
      <c r="D247" s="86">
        <f t="shared" ref="D247:P247" si="61">SUM(D248:D249)</f>
        <v>136</v>
      </c>
      <c r="E247" s="86">
        <f t="shared" si="61"/>
        <v>283</v>
      </c>
      <c r="F247" s="86">
        <f t="shared" si="61"/>
        <v>623</v>
      </c>
      <c r="G247" s="86">
        <f t="shared" si="61"/>
        <v>498</v>
      </c>
      <c r="H247" s="86">
        <f t="shared" si="61"/>
        <v>423</v>
      </c>
      <c r="I247" s="86">
        <f t="shared" si="61"/>
        <v>713</v>
      </c>
      <c r="J247" s="86">
        <f t="shared" si="61"/>
        <v>705</v>
      </c>
      <c r="K247" s="86">
        <f t="shared" si="61"/>
        <v>679</v>
      </c>
      <c r="L247" s="86">
        <f t="shared" si="61"/>
        <v>624</v>
      </c>
      <c r="M247" s="86">
        <f t="shared" si="61"/>
        <v>457</v>
      </c>
      <c r="N247" s="86">
        <f t="shared" si="61"/>
        <v>352</v>
      </c>
      <c r="O247" s="86">
        <f t="shared" si="61"/>
        <v>534</v>
      </c>
      <c r="P247" s="87">
        <f t="shared" si="61"/>
        <v>6027</v>
      </c>
    </row>
    <row r="248" spans="1:17" ht="9.9" hidden="1" customHeight="1" x14ac:dyDescent="0.25">
      <c r="A248"/>
      <c r="B248" s="88"/>
      <c r="C248" s="89" t="s">
        <v>144</v>
      </c>
      <c r="D248" s="102">
        <v>21</v>
      </c>
      <c r="E248" s="102">
        <v>62</v>
      </c>
      <c r="F248" s="90">
        <v>288</v>
      </c>
      <c r="G248" s="103">
        <v>133</v>
      </c>
      <c r="H248" s="90">
        <v>135</v>
      </c>
      <c r="I248" s="100">
        <v>244</v>
      </c>
      <c r="J248" s="100">
        <v>236</v>
      </c>
      <c r="K248" s="90">
        <v>380</v>
      </c>
      <c r="L248" s="90">
        <v>154</v>
      </c>
      <c r="M248" s="90">
        <v>112</v>
      </c>
      <c r="N248" s="90">
        <v>93</v>
      </c>
      <c r="O248" s="90">
        <v>202</v>
      </c>
      <c r="P248" s="91">
        <f>SUM(D248:O248)</f>
        <v>2060</v>
      </c>
    </row>
    <row r="249" spans="1:17" ht="9.9" hidden="1" customHeight="1" x14ac:dyDescent="0.25">
      <c r="A249"/>
      <c r="B249" s="92"/>
      <c r="C249" s="89" t="s">
        <v>143</v>
      </c>
      <c r="D249" s="102">
        <v>115</v>
      </c>
      <c r="E249" s="102">
        <v>221</v>
      </c>
      <c r="F249" s="90">
        <v>335</v>
      </c>
      <c r="G249" s="103">
        <v>365</v>
      </c>
      <c r="H249" s="90">
        <v>288</v>
      </c>
      <c r="I249" s="100">
        <v>469</v>
      </c>
      <c r="J249" s="101">
        <v>469</v>
      </c>
      <c r="K249" s="93">
        <v>299</v>
      </c>
      <c r="L249" s="93">
        <v>470</v>
      </c>
      <c r="M249" s="93">
        <v>345</v>
      </c>
      <c r="N249" s="93">
        <v>259</v>
      </c>
      <c r="O249" s="93">
        <v>332</v>
      </c>
      <c r="P249" s="91">
        <f>SUM(D249:O249)</f>
        <v>3967</v>
      </c>
    </row>
    <row r="250" spans="1:17" ht="9.9" hidden="1" customHeight="1" x14ac:dyDescent="0.25">
      <c r="A250"/>
      <c r="J250" s="118"/>
    </row>
    <row r="251" spans="1:17" ht="6" hidden="1" customHeight="1" x14ac:dyDescent="0.25">
      <c r="A251"/>
      <c r="B251" s="95" t="s">
        <v>25</v>
      </c>
      <c r="C251" s="96"/>
      <c r="D251" s="86">
        <f>D252+D253+D255+D254</f>
        <v>4541</v>
      </c>
      <c r="E251" s="86">
        <f t="shared" ref="E251:P251" si="62">E252+E253+E255+E254</f>
        <v>5680</v>
      </c>
      <c r="F251" s="86">
        <f t="shared" si="62"/>
        <v>6036</v>
      </c>
      <c r="G251" s="86">
        <f t="shared" si="62"/>
        <v>8836</v>
      </c>
      <c r="H251" s="86">
        <f t="shared" si="62"/>
        <v>13376</v>
      </c>
      <c r="I251" s="86">
        <f t="shared" si="62"/>
        <v>9822</v>
      </c>
      <c r="J251" s="86">
        <f t="shared" si="62"/>
        <v>8071</v>
      </c>
      <c r="K251" s="86">
        <f t="shared" si="62"/>
        <v>8393</v>
      </c>
      <c r="L251" s="86">
        <f t="shared" si="62"/>
        <v>7156</v>
      </c>
      <c r="M251" s="86">
        <f t="shared" si="62"/>
        <v>10688</v>
      </c>
      <c r="N251" s="86">
        <f t="shared" si="62"/>
        <v>8832</v>
      </c>
      <c r="O251" s="86">
        <f t="shared" si="62"/>
        <v>8572</v>
      </c>
      <c r="P251" s="86">
        <f t="shared" si="62"/>
        <v>100003</v>
      </c>
    </row>
    <row r="252" spans="1:17" hidden="1" x14ac:dyDescent="0.25">
      <c r="A252"/>
      <c r="B252" s="88"/>
      <c r="C252" s="89" t="s">
        <v>53</v>
      </c>
      <c r="D252" s="125">
        <v>4271</v>
      </c>
      <c r="E252" s="125">
        <v>5363</v>
      </c>
      <c r="F252" s="125">
        <v>5660</v>
      </c>
      <c r="G252" s="90">
        <v>2529</v>
      </c>
      <c r="H252" s="90">
        <v>2026</v>
      </c>
      <c r="I252" s="90">
        <v>1865</v>
      </c>
      <c r="J252" s="90">
        <v>1737</v>
      </c>
      <c r="K252" s="90">
        <v>1861</v>
      </c>
      <c r="L252" s="90">
        <v>1799</v>
      </c>
      <c r="M252" s="90">
        <v>2444</v>
      </c>
      <c r="N252" s="90">
        <v>2081</v>
      </c>
      <c r="O252" s="90">
        <v>1895</v>
      </c>
      <c r="P252" s="91">
        <f>SUM(D252:O252)</f>
        <v>33531</v>
      </c>
    </row>
    <row r="253" spans="1:17" ht="9.75" hidden="1" customHeight="1" x14ac:dyDescent="0.25">
      <c r="A253"/>
      <c r="B253" s="88"/>
      <c r="C253" s="131" t="s">
        <v>142</v>
      </c>
      <c r="D253" s="125">
        <v>270</v>
      </c>
      <c r="E253" s="125">
        <v>317</v>
      </c>
      <c r="F253" s="125">
        <v>265</v>
      </c>
      <c r="G253" s="125">
        <v>179</v>
      </c>
      <c r="H253" s="125">
        <v>126</v>
      </c>
      <c r="I253" s="125">
        <v>70</v>
      </c>
      <c r="J253" s="125">
        <v>1</v>
      </c>
      <c r="K253" s="125">
        <v>0</v>
      </c>
      <c r="L253" s="125">
        <v>0</v>
      </c>
      <c r="M253" s="125">
        <v>0</v>
      </c>
      <c r="N253" s="125">
        <v>0</v>
      </c>
      <c r="O253" s="93">
        <v>0</v>
      </c>
      <c r="P253" s="91">
        <f>SUM(D253:O253)</f>
        <v>1228</v>
      </c>
    </row>
    <row r="254" spans="1:17" ht="9.75" hidden="1" customHeight="1" x14ac:dyDescent="0.25">
      <c r="A254"/>
      <c r="B254" s="88"/>
      <c r="C254" s="89" t="s">
        <v>137</v>
      </c>
      <c r="D254" s="90">
        <v>0</v>
      </c>
      <c r="E254" s="90">
        <v>0</v>
      </c>
      <c r="F254" s="90">
        <v>111</v>
      </c>
      <c r="G254" s="90">
        <v>6128</v>
      </c>
      <c r="H254" s="90">
        <v>11224</v>
      </c>
      <c r="I254" s="90">
        <v>7887</v>
      </c>
      <c r="J254" s="90">
        <v>6333</v>
      </c>
      <c r="K254" s="90">
        <v>5547</v>
      </c>
      <c r="L254" s="90">
        <v>4045</v>
      </c>
      <c r="M254" s="90">
        <v>6531</v>
      </c>
      <c r="N254" s="90">
        <v>5548</v>
      </c>
      <c r="O254" s="90">
        <v>5452</v>
      </c>
      <c r="P254" s="91">
        <f>SUM(D254:O254)</f>
        <v>58806</v>
      </c>
    </row>
    <row r="255" spans="1:17" ht="6" hidden="1" customHeight="1" x14ac:dyDescent="0.25">
      <c r="A255"/>
      <c r="B255" s="92"/>
      <c r="C255" s="89" t="s">
        <v>140</v>
      </c>
      <c r="D255" s="90">
        <v>0</v>
      </c>
      <c r="E255" s="90">
        <v>0</v>
      </c>
      <c r="F255" s="90">
        <v>0</v>
      </c>
      <c r="G255" s="90">
        <v>0</v>
      </c>
      <c r="H255" s="90">
        <v>0</v>
      </c>
      <c r="I255" s="90">
        <v>0</v>
      </c>
      <c r="J255" s="90">
        <v>0</v>
      </c>
      <c r="K255" s="90">
        <v>985</v>
      </c>
      <c r="L255" s="90">
        <v>1312</v>
      </c>
      <c r="M255" s="90">
        <v>1713</v>
      </c>
      <c r="N255" s="90">
        <v>1203</v>
      </c>
      <c r="O255" s="90">
        <v>1225</v>
      </c>
      <c r="P255" s="91">
        <f>SUM(D255:O255)</f>
        <v>6438</v>
      </c>
    </row>
    <row r="256" spans="1:17" ht="9.9" hidden="1" customHeight="1" x14ac:dyDescent="0.25">
      <c r="A256"/>
      <c r="B256" s="104"/>
      <c r="C256" s="97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9"/>
    </row>
    <row r="257" spans="1:17" ht="9.9" hidden="1" customHeight="1" x14ac:dyDescent="0.25">
      <c r="A257"/>
      <c r="B257" s="84" t="s">
        <v>27</v>
      </c>
      <c r="C257" s="85"/>
      <c r="D257" s="86">
        <f t="shared" ref="D257:P257" si="63">SUM(D258:D259)</f>
        <v>10077</v>
      </c>
      <c r="E257" s="86">
        <f t="shared" si="63"/>
        <v>7720</v>
      </c>
      <c r="F257" s="86">
        <f t="shared" si="63"/>
        <v>10531</v>
      </c>
      <c r="G257" s="86">
        <f t="shared" si="63"/>
        <v>10135</v>
      </c>
      <c r="H257" s="86">
        <f t="shared" si="63"/>
        <v>8327</v>
      </c>
      <c r="I257" s="86">
        <f t="shared" si="63"/>
        <v>6652</v>
      </c>
      <c r="J257" s="86">
        <f t="shared" si="63"/>
        <v>6135</v>
      </c>
      <c r="K257" s="86">
        <f t="shared" si="63"/>
        <v>5514</v>
      </c>
      <c r="L257" s="86">
        <f t="shared" si="63"/>
        <v>4814</v>
      </c>
      <c r="M257" s="86">
        <f t="shared" si="63"/>
        <v>9867</v>
      </c>
      <c r="N257" s="86">
        <f t="shared" si="63"/>
        <v>10407</v>
      </c>
      <c r="O257" s="86">
        <f t="shared" si="63"/>
        <v>13170</v>
      </c>
      <c r="P257" s="86">
        <f t="shared" si="63"/>
        <v>103349</v>
      </c>
    </row>
    <row r="258" spans="1:17" ht="9.9" hidden="1" customHeight="1" x14ac:dyDescent="0.25">
      <c r="A258"/>
      <c r="B258" s="88"/>
      <c r="C258" s="150" t="s">
        <v>80</v>
      </c>
      <c r="D258" s="151">
        <v>7627</v>
      </c>
      <c r="E258" s="151">
        <v>5883</v>
      </c>
      <c r="F258" s="152">
        <v>7470</v>
      </c>
      <c r="G258" s="153">
        <v>6949</v>
      </c>
      <c r="H258" s="152">
        <v>5553</v>
      </c>
      <c r="I258" s="154">
        <v>3952</v>
      </c>
      <c r="J258" s="154">
        <v>3846</v>
      </c>
      <c r="K258" s="152">
        <v>4361</v>
      </c>
      <c r="L258" s="152">
        <v>3653</v>
      </c>
      <c r="M258" s="152">
        <v>6827</v>
      </c>
      <c r="N258" s="152">
        <v>8095</v>
      </c>
      <c r="O258" s="152">
        <v>9425</v>
      </c>
      <c r="P258" s="155">
        <f>SUM(D258:O258)</f>
        <v>73641</v>
      </c>
    </row>
    <row r="259" spans="1:17" ht="9.9" hidden="1" customHeight="1" x14ac:dyDescent="0.25">
      <c r="A259"/>
      <c r="B259" s="92"/>
      <c r="C259" s="89" t="s">
        <v>141</v>
      </c>
      <c r="D259" s="102">
        <v>2450</v>
      </c>
      <c r="E259" s="102">
        <v>1837</v>
      </c>
      <c r="F259" s="90">
        <v>3061</v>
      </c>
      <c r="G259" s="103">
        <v>3186</v>
      </c>
      <c r="H259" s="90">
        <v>2774</v>
      </c>
      <c r="I259" s="100">
        <v>2700</v>
      </c>
      <c r="J259" s="101">
        <v>2289</v>
      </c>
      <c r="K259" s="93">
        <v>1153</v>
      </c>
      <c r="L259" s="93">
        <v>1161</v>
      </c>
      <c r="M259" s="93">
        <v>3040</v>
      </c>
      <c r="N259" s="93">
        <v>2312</v>
      </c>
      <c r="O259" s="93">
        <v>3745</v>
      </c>
      <c r="P259" s="91">
        <f>SUM(D259:O259)</f>
        <v>29708</v>
      </c>
    </row>
    <row r="260" spans="1:17" s="199" customFormat="1" ht="6" hidden="1" customHeight="1" x14ac:dyDescent="0.25">
      <c r="A260"/>
      <c r="B260" s="104"/>
      <c r="C260" s="97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9"/>
      <c r="Q260" s="198"/>
    </row>
    <row r="261" spans="1:17" hidden="1" x14ac:dyDescent="0.25">
      <c r="A261"/>
      <c r="B261" s="84" t="s">
        <v>114</v>
      </c>
      <c r="C261" s="85"/>
      <c r="D261" s="86">
        <f t="shared" ref="D261:P261" si="64">SUM(D262:D264)</f>
        <v>2310</v>
      </c>
      <c r="E261" s="86">
        <f t="shared" si="64"/>
        <v>1955</v>
      </c>
      <c r="F261" s="86">
        <f t="shared" si="64"/>
        <v>4529</v>
      </c>
      <c r="G261" s="86">
        <f t="shared" si="64"/>
        <v>4730</v>
      </c>
      <c r="H261" s="86">
        <f t="shared" si="64"/>
        <v>4328</v>
      </c>
      <c r="I261" s="86">
        <f t="shared" si="64"/>
        <v>3634</v>
      </c>
      <c r="J261" s="86">
        <f t="shared" si="64"/>
        <v>3187</v>
      </c>
      <c r="K261" s="86">
        <f t="shared" si="64"/>
        <v>2474</v>
      </c>
      <c r="L261" s="86">
        <f t="shared" si="64"/>
        <v>3636</v>
      </c>
      <c r="M261" s="86">
        <f t="shared" si="64"/>
        <v>4421</v>
      </c>
      <c r="N261" s="86">
        <f t="shared" si="64"/>
        <v>3720</v>
      </c>
      <c r="O261" s="86">
        <f t="shared" si="64"/>
        <v>3725</v>
      </c>
      <c r="P261" s="87">
        <f t="shared" si="64"/>
        <v>42649</v>
      </c>
    </row>
    <row r="262" spans="1:17" ht="9.9" hidden="1" customHeight="1" x14ac:dyDescent="0.25">
      <c r="A262"/>
      <c r="B262" s="88"/>
      <c r="C262" s="89" t="s">
        <v>129</v>
      </c>
      <c r="D262" s="102">
        <v>1922</v>
      </c>
      <c r="E262" s="102">
        <v>1722</v>
      </c>
      <c r="F262" s="90">
        <v>2378</v>
      </c>
      <c r="G262" s="103">
        <v>3001</v>
      </c>
      <c r="H262" s="90">
        <v>2457</v>
      </c>
      <c r="I262" s="100">
        <v>2309</v>
      </c>
      <c r="J262" s="101">
        <v>1659</v>
      </c>
      <c r="K262" s="93">
        <v>1461</v>
      </c>
      <c r="L262" s="93">
        <v>1978</v>
      </c>
      <c r="M262" s="93">
        <v>2741</v>
      </c>
      <c r="N262" s="93">
        <v>2179</v>
      </c>
      <c r="O262" s="93">
        <v>2084</v>
      </c>
      <c r="P262" s="91">
        <f>SUM(D262:O262)</f>
        <v>25891</v>
      </c>
    </row>
    <row r="263" spans="1:17" ht="9.9" hidden="1" customHeight="1" x14ac:dyDescent="0.25">
      <c r="B263" s="88"/>
      <c r="C263" s="89" t="s">
        <v>145</v>
      </c>
      <c r="D263" s="102">
        <v>388</v>
      </c>
      <c r="E263" s="102">
        <v>233</v>
      </c>
      <c r="F263" s="90">
        <v>2151</v>
      </c>
      <c r="G263" s="103">
        <v>1729</v>
      </c>
      <c r="H263" s="90">
        <v>1871</v>
      </c>
      <c r="I263" s="100">
        <v>1325</v>
      </c>
      <c r="J263" s="100">
        <v>1528</v>
      </c>
      <c r="K263" s="90">
        <v>1008</v>
      </c>
      <c r="L263" s="90">
        <v>893</v>
      </c>
      <c r="M263" s="90">
        <v>1009</v>
      </c>
      <c r="N263" s="90">
        <v>852</v>
      </c>
      <c r="O263" s="90">
        <v>600</v>
      </c>
      <c r="P263" s="91">
        <f>SUM(D263:O263)</f>
        <v>13587</v>
      </c>
    </row>
    <row r="264" spans="1:17" s="210" customFormat="1" ht="6" hidden="1" customHeight="1" x14ac:dyDescent="0.25">
      <c r="A264" s="20"/>
      <c r="B264" s="92"/>
      <c r="C264" s="89" t="s">
        <v>143</v>
      </c>
      <c r="D264" s="102">
        <v>0</v>
      </c>
      <c r="E264" s="102">
        <v>0</v>
      </c>
      <c r="F264" s="90">
        <v>0</v>
      </c>
      <c r="G264" s="103">
        <v>0</v>
      </c>
      <c r="H264" s="90">
        <v>0</v>
      </c>
      <c r="I264" s="100">
        <v>0</v>
      </c>
      <c r="J264" s="100">
        <v>0</v>
      </c>
      <c r="K264" s="90">
        <v>5</v>
      </c>
      <c r="L264" s="90">
        <v>765</v>
      </c>
      <c r="M264" s="90">
        <v>671</v>
      </c>
      <c r="N264" s="90">
        <v>689</v>
      </c>
      <c r="O264" s="90">
        <v>1041</v>
      </c>
      <c r="P264" s="91">
        <f>SUM(D264:O264)</f>
        <v>3171</v>
      </c>
      <c r="Q264" s="209"/>
    </row>
    <row r="265" spans="1:17" hidden="1" x14ac:dyDescent="0.25">
      <c r="A265" s="193"/>
      <c r="B265" s="194"/>
      <c r="C265" s="194"/>
      <c r="D265" s="195"/>
      <c r="E265" s="195"/>
      <c r="F265" s="195"/>
      <c r="G265" s="195"/>
      <c r="H265" s="195"/>
      <c r="I265" s="195"/>
      <c r="J265" s="196"/>
      <c r="K265" s="196"/>
      <c r="L265" s="196"/>
      <c r="M265" s="196"/>
      <c r="N265" s="196"/>
      <c r="O265" s="196"/>
      <c r="P265" s="197"/>
    </row>
    <row r="266" spans="1:17" ht="9.9" hidden="1" customHeight="1" x14ac:dyDescent="0.25">
      <c r="B266" s="84" t="s">
        <v>130</v>
      </c>
      <c r="C266" s="85"/>
      <c r="D266" s="86">
        <f t="shared" ref="D266:P266" si="65">SUM(D267:D268)</f>
        <v>1387</v>
      </c>
      <c r="E266" s="86">
        <f t="shared" si="65"/>
        <v>960</v>
      </c>
      <c r="F266" s="86">
        <f t="shared" si="65"/>
        <v>2374</v>
      </c>
      <c r="G266" s="86">
        <f t="shared" si="65"/>
        <v>2806</v>
      </c>
      <c r="H266" s="86">
        <f t="shared" si="65"/>
        <v>2206</v>
      </c>
      <c r="I266" s="86">
        <f t="shared" si="65"/>
        <v>1166</v>
      </c>
      <c r="J266" s="86">
        <f t="shared" si="65"/>
        <v>1153</v>
      </c>
      <c r="K266" s="86">
        <f t="shared" si="65"/>
        <v>1039</v>
      </c>
      <c r="L266" s="86">
        <f t="shared" si="65"/>
        <v>933</v>
      </c>
      <c r="M266" s="86">
        <f t="shared" si="65"/>
        <v>935</v>
      </c>
      <c r="N266" s="86">
        <f t="shared" si="65"/>
        <v>1086</v>
      </c>
      <c r="O266" s="86">
        <f t="shared" si="65"/>
        <v>1497</v>
      </c>
      <c r="P266" s="87">
        <f t="shared" si="65"/>
        <v>17542</v>
      </c>
    </row>
    <row r="267" spans="1:17" ht="9.9" hidden="1" customHeight="1" x14ac:dyDescent="0.25">
      <c r="B267" s="88"/>
      <c r="C267" s="89" t="s">
        <v>65</v>
      </c>
      <c r="D267" s="102">
        <v>39</v>
      </c>
      <c r="E267" s="102">
        <v>36</v>
      </c>
      <c r="F267" s="90">
        <v>28</v>
      </c>
      <c r="G267" s="103">
        <v>25</v>
      </c>
      <c r="H267" s="90">
        <v>2</v>
      </c>
      <c r="I267" s="100">
        <v>0</v>
      </c>
      <c r="J267" s="100">
        <v>0</v>
      </c>
      <c r="K267" s="90">
        <v>0</v>
      </c>
      <c r="L267" s="90">
        <v>0</v>
      </c>
      <c r="M267" s="90">
        <v>0</v>
      </c>
      <c r="N267" s="90">
        <v>0</v>
      </c>
      <c r="O267" s="90">
        <v>0</v>
      </c>
      <c r="P267" s="91">
        <f>SUM(D267:O267)</f>
        <v>130</v>
      </c>
    </row>
    <row r="268" spans="1:17" s="211" customFormat="1" ht="6.75" hidden="1" customHeight="1" x14ac:dyDescent="0.25">
      <c r="A268" s="20"/>
      <c r="B268" s="92"/>
      <c r="C268" s="89" t="s">
        <v>132</v>
      </c>
      <c r="D268" s="102">
        <v>1348</v>
      </c>
      <c r="E268" s="102">
        <v>924</v>
      </c>
      <c r="F268" s="102">
        <v>2346</v>
      </c>
      <c r="G268" s="102">
        <v>2781</v>
      </c>
      <c r="H268" s="102">
        <v>2204</v>
      </c>
      <c r="I268" s="102">
        <v>1166</v>
      </c>
      <c r="J268" s="102">
        <v>1153</v>
      </c>
      <c r="K268" s="102">
        <v>1039</v>
      </c>
      <c r="L268" s="102">
        <v>933</v>
      </c>
      <c r="M268" s="102">
        <v>935</v>
      </c>
      <c r="N268" s="93">
        <v>1086</v>
      </c>
      <c r="O268" s="93">
        <v>1497</v>
      </c>
      <c r="P268" s="91">
        <f>SUM(D268:O268)</f>
        <v>17412</v>
      </c>
      <c r="Q268" s="213"/>
    </row>
    <row r="269" spans="1:17" hidden="1" x14ac:dyDescent="0.25">
      <c r="A269" s="205"/>
      <c r="B269" s="104"/>
      <c r="C269" s="104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7"/>
      <c r="O269" s="207"/>
      <c r="P269" s="208"/>
    </row>
    <row r="270" spans="1:17" ht="12.75" hidden="1" customHeight="1" x14ac:dyDescent="0.25">
      <c r="B270" s="84" t="s">
        <v>146</v>
      </c>
      <c r="C270" s="85"/>
      <c r="D270" s="86">
        <f t="shared" ref="D270:P270" si="66">SUM(D271:D272)</f>
        <v>8951</v>
      </c>
      <c r="E270" s="86">
        <f t="shared" si="66"/>
        <v>6797</v>
      </c>
      <c r="F270" s="86">
        <f t="shared" si="66"/>
        <v>9412</v>
      </c>
      <c r="G270" s="86">
        <f t="shared" si="66"/>
        <v>9502</v>
      </c>
      <c r="H270" s="86">
        <f t="shared" si="66"/>
        <v>9254</v>
      </c>
      <c r="I270" s="86">
        <f t="shared" si="66"/>
        <v>9180</v>
      </c>
      <c r="J270" s="86">
        <f t="shared" si="66"/>
        <v>10355</v>
      </c>
      <c r="K270" s="86">
        <f t="shared" si="66"/>
        <v>6971</v>
      </c>
      <c r="L270" s="86">
        <f t="shared" si="66"/>
        <v>5094</v>
      </c>
      <c r="M270" s="86">
        <f t="shared" si="66"/>
        <v>7041</v>
      </c>
      <c r="N270" s="86">
        <f t="shared" si="66"/>
        <v>8402</v>
      </c>
      <c r="O270" s="86">
        <f t="shared" si="66"/>
        <v>7566</v>
      </c>
      <c r="P270" s="87">
        <f t="shared" si="66"/>
        <v>98525</v>
      </c>
    </row>
    <row r="271" spans="1:17" ht="12.75" hidden="1" customHeight="1" x14ac:dyDescent="0.25">
      <c r="B271" s="88"/>
      <c r="C271" s="89" t="s">
        <v>12</v>
      </c>
      <c r="D271" s="102">
        <v>8951</v>
      </c>
      <c r="E271" s="102">
        <v>6797</v>
      </c>
      <c r="F271" s="90">
        <v>9412</v>
      </c>
      <c r="G271" s="103">
        <v>9502</v>
      </c>
      <c r="H271" s="90">
        <v>9254</v>
      </c>
      <c r="I271" s="100">
        <v>9180</v>
      </c>
      <c r="J271" s="100">
        <v>10355</v>
      </c>
      <c r="K271" s="90">
        <v>6971</v>
      </c>
      <c r="L271" s="90">
        <v>5094</v>
      </c>
      <c r="M271" s="90">
        <v>7041</v>
      </c>
      <c r="N271" s="90">
        <v>8402</v>
      </c>
      <c r="O271" s="90">
        <v>7442</v>
      </c>
      <c r="P271" s="91">
        <f>SUM(D271:O271)</f>
        <v>98401</v>
      </c>
      <c r="Q271"/>
    </row>
    <row r="272" spans="1:17" ht="12.75" hidden="1" customHeight="1" x14ac:dyDescent="0.25">
      <c r="B272" s="92"/>
      <c r="C272" s="89" t="s">
        <v>144</v>
      </c>
      <c r="D272" s="102">
        <v>0</v>
      </c>
      <c r="E272" s="102">
        <v>0</v>
      </c>
      <c r="F272" s="102">
        <v>0</v>
      </c>
      <c r="G272" s="102">
        <v>0</v>
      </c>
      <c r="H272" s="102">
        <v>0</v>
      </c>
      <c r="I272" s="102">
        <v>0</v>
      </c>
      <c r="J272" s="102">
        <v>0</v>
      </c>
      <c r="K272" s="102">
        <v>0</v>
      </c>
      <c r="L272" s="102">
        <v>0</v>
      </c>
      <c r="M272" s="102">
        <v>0</v>
      </c>
      <c r="N272" s="93">
        <v>0</v>
      </c>
      <c r="O272" s="93">
        <v>124</v>
      </c>
      <c r="P272" s="91">
        <f>SUM(D272:O272)</f>
        <v>124</v>
      </c>
      <c r="Q272"/>
    </row>
    <row r="273" spans="1:17" ht="12.75" hidden="1" customHeight="1" x14ac:dyDescent="0.25">
      <c r="A273" s="211"/>
      <c r="B273" s="211"/>
      <c r="C273" s="211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1"/>
      <c r="Q273"/>
    </row>
    <row r="274" spans="1:17" ht="12.75" hidden="1" customHeight="1" thickBot="1" x14ac:dyDescent="0.3">
      <c r="B274" s="18" t="s">
        <v>121</v>
      </c>
      <c r="C274" s="18"/>
      <c r="Q274"/>
    </row>
    <row r="275" spans="1:17" ht="12.75" hidden="1" customHeight="1" thickBot="1" x14ac:dyDescent="0.3">
      <c r="B275" s="408" t="s">
        <v>1</v>
      </c>
      <c r="C275" s="409"/>
      <c r="D275" s="21">
        <v>1</v>
      </c>
      <c r="E275" s="22">
        <v>2</v>
      </c>
      <c r="F275" s="22">
        <v>3</v>
      </c>
      <c r="G275" s="22">
        <v>4</v>
      </c>
      <c r="H275" s="22">
        <v>5</v>
      </c>
      <c r="I275" s="22">
        <v>6</v>
      </c>
      <c r="J275" s="22">
        <v>7</v>
      </c>
      <c r="K275" s="22">
        <v>8</v>
      </c>
      <c r="L275" s="22">
        <v>9</v>
      </c>
      <c r="M275" s="22">
        <v>10</v>
      </c>
      <c r="N275" s="22">
        <v>11</v>
      </c>
      <c r="O275" s="22">
        <v>12</v>
      </c>
      <c r="P275" s="23" t="s">
        <v>0</v>
      </c>
      <c r="Q275"/>
    </row>
    <row r="276" spans="1:17" ht="12.75" hidden="1" customHeight="1" x14ac:dyDescent="0.25">
      <c r="B276" s="398" t="s">
        <v>46</v>
      </c>
      <c r="C276" s="177" t="s">
        <v>21</v>
      </c>
      <c r="D276" s="39">
        <v>523</v>
      </c>
      <c r="E276" s="40">
        <v>427</v>
      </c>
      <c r="F276" s="39">
        <v>574</v>
      </c>
      <c r="G276" s="40">
        <v>564</v>
      </c>
      <c r="H276" s="40">
        <v>387</v>
      </c>
      <c r="I276" s="40">
        <v>519</v>
      </c>
      <c r="J276" s="40">
        <v>322</v>
      </c>
      <c r="K276" s="40">
        <v>520</v>
      </c>
      <c r="L276" s="40">
        <v>398</v>
      </c>
      <c r="M276" s="40">
        <v>509</v>
      </c>
      <c r="N276" s="40">
        <v>489</v>
      </c>
      <c r="O276" s="40">
        <v>466</v>
      </c>
      <c r="P276" s="41">
        <f t="shared" ref="P276:P284" si="67">SUM(D276:O276)</f>
        <v>5698</v>
      </c>
      <c r="Q276"/>
    </row>
    <row r="277" spans="1:17" ht="12.75" hidden="1" customHeight="1" x14ac:dyDescent="0.25">
      <c r="B277" s="399"/>
      <c r="C277" s="178" t="s">
        <v>22</v>
      </c>
      <c r="D277" s="78">
        <v>0</v>
      </c>
      <c r="E277" s="79">
        <v>109</v>
      </c>
      <c r="F277" s="78">
        <v>279</v>
      </c>
      <c r="G277" s="79">
        <v>435</v>
      </c>
      <c r="H277" s="79">
        <v>335</v>
      </c>
      <c r="I277" s="79">
        <v>327</v>
      </c>
      <c r="J277" s="79">
        <v>312</v>
      </c>
      <c r="K277" s="79">
        <v>681</v>
      </c>
      <c r="L277" s="81">
        <v>503</v>
      </c>
      <c r="M277" s="79">
        <v>407</v>
      </c>
      <c r="N277" s="79">
        <v>268</v>
      </c>
      <c r="O277" s="79">
        <v>598</v>
      </c>
      <c r="P277" s="80">
        <f t="shared" si="67"/>
        <v>4254</v>
      </c>
      <c r="Q277"/>
    </row>
    <row r="278" spans="1:17" ht="12.75" hidden="1" customHeight="1" x14ac:dyDescent="0.25">
      <c r="B278" s="399"/>
      <c r="C278" s="178" t="s">
        <v>24</v>
      </c>
      <c r="D278" s="78">
        <v>5677</v>
      </c>
      <c r="E278" s="78">
        <v>5807</v>
      </c>
      <c r="F278" s="78">
        <v>5928</v>
      </c>
      <c r="G278" s="78">
        <v>5898</v>
      </c>
      <c r="H278" s="78">
        <v>6565</v>
      </c>
      <c r="I278" s="78">
        <v>5928</v>
      </c>
      <c r="J278" s="78">
        <v>7522</v>
      </c>
      <c r="K278" s="78">
        <v>8136</v>
      </c>
      <c r="L278" s="78">
        <v>5488</v>
      </c>
      <c r="M278" s="78">
        <v>7228</v>
      </c>
      <c r="N278" s="78">
        <v>6243</v>
      </c>
      <c r="O278" s="78">
        <v>5411</v>
      </c>
      <c r="P278" s="31">
        <f t="shared" si="67"/>
        <v>75831</v>
      </c>
      <c r="Q278"/>
    </row>
    <row r="279" spans="1:17" ht="12.75" hidden="1" customHeight="1" x14ac:dyDescent="0.25">
      <c r="A279"/>
      <c r="B279" s="399"/>
      <c r="C279" s="178" t="s">
        <v>69</v>
      </c>
      <c r="D279" s="78">
        <v>1298</v>
      </c>
      <c r="E279" s="78">
        <v>1282</v>
      </c>
      <c r="F279" s="78">
        <v>1097</v>
      </c>
      <c r="G279" s="78">
        <v>852</v>
      </c>
      <c r="H279" s="78">
        <v>814</v>
      </c>
      <c r="I279" s="78">
        <v>746</v>
      </c>
      <c r="J279" s="78">
        <v>417</v>
      </c>
      <c r="K279" s="78">
        <v>488</v>
      </c>
      <c r="L279" s="78">
        <v>360</v>
      </c>
      <c r="M279" s="78">
        <v>541</v>
      </c>
      <c r="N279" s="78">
        <v>687</v>
      </c>
      <c r="O279" s="78">
        <v>844</v>
      </c>
      <c r="P279" s="27">
        <f t="shared" si="67"/>
        <v>9426</v>
      </c>
      <c r="Q279"/>
    </row>
    <row r="280" spans="1:17" ht="12.75" hidden="1" customHeight="1" x14ac:dyDescent="0.25">
      <c r="A280"/>
      <c r="B280" s="399"/>
      <c r="C280" s="179" t="s">
        <v>3</v>
      </c>
      <c r="D280" s="29">
        <v>301</v>
      </c>
      <c r="E280" s="30">
        <v>304</v>
      </c>
      <c r="F280" s="29">
        <v>337</v>
      </c>
      <c r="G280" s="30">
        <v>265</v>
      </c>
      <c r="H280" s="30">
        <v>231</v>
      </c>
      <c r="I280" s="30">
        <v>236</v>
      </c>
      <c r="J280" s="30">
        <v>201</v>
      </c>
      <c r="K280" s="30">
        <v>272</v>
      </c>
      <c r="L280" s="32">
        <v>203</v>
      </c>
      <c r="M280" s="30">
        <v>279</v>
      </c>
      <c r="N280" s="30">
        <v>301</v>
      </c>
      <c r="O280" s="30">
        <v>295</v>
      </c>
      <c r="P280" s="80">
        <f t="shared" si="67"/>
        <v>3225</v>
      </c>
      <c r="Q280"/>
    </row>
    <row r="281" spans="1:17" ht="12.75" hidden="1" customHeight="1" x14ac:dyDescent="0.25">
      <c r="A281"/>
      <c r="B281" s="399"/>
      <c r="C281" s="180" t="s">
        <v>25</v>
      </c>
      <c r="D281" s="76">
        <f>5230+290</f>
        <v>5520</v>
      </c>
      <c r="E281" s="76">
        <v>5079</v>
      </c>
      <c r="F281" s="76">
        <v>5685</v>
      </c>
      <c r="G281" s="76">
        <v>5699</v>
      </c>
      <c r="H281" s="76">
        <v>5542</v>
      </c>
      <c r="I281" s="76">
        <v>5245</v>
      </c>
      <c r="J281" s="76">
        <v>5948</v>
      </c>
      <c r="K281" s="76">
        <v>5881</v>
      </c>
      <c r="L281" s="76">
        <v>4396</v>
      </c>
      <c r="M281" s="76">
        <v>6326</v>
      </c>
      <c r="N281" s="76">
        <v>5335</v>
      </c>
      <c r="O281" s="76">
        <v>5190</v>
      </c>
      <c r="P281" s="80">
        <f t="shared" si="67"/>
        <v>65846</v>
      </c>
      <c r="Q281"/>
    </row>
    <row r="282" spans="1:17" ht="12.75" hidden="1" customHeight="1" x14ac:dyDescent="0.25">
      <c r="A282"/>
      <c r="B282" s="399"/>
      <c r="C282" s="180" t="s">
        <v>44</v>
      </c>
      <c r="D282" s="76">
        <v>14</v>
      </c>
      <c r="E282" s="76">
        <v>17</v>
      </c>
      <c r="F282" s="76">
        <v>8</v>
      </c>
      <c r="G282" s="76">
        <v>28</v>
      </c>
      <c r="H282" s="76">
        <v>13</v>
      </c>
      <c r="I282" s="76">
        <v>8</v>
      </c>
      <c r="J282" s="76">
        <v>20</v>
      </c>
      <c r="K282" s="76">
        <v>24</v>
      </c>
      <c r="L282" s="76">
        <v>14</v>
      </c>
      <c r="M282" s="76">
        <v>20</v>
      </c>
      <c r="N282" s="76">
        <v>30</v>
      </c>
      <c r="O282" s="76">
        <v>17</v>
      </c>
      <c r="P282" s="80">
        <f t="shared" si="67"/>
        <v>213</v>
      </c>
      <c r="Q282"/>
    </row>
    <row r="283" spans="1:17" ht="12.75" hidden="1" customHeight="1" x14ac:dyDescent="0.25">
      <c r="A283"/>
      <c r="B283" s="399"/>
      <c r="C283" s="181" t="s">
        <v>27</v>
      </c>
      <c r="D283" s="74">
        <f>7662+1939</f>
        <v>9601</v>
      </c>
      <c r="E283" s="74">
        <v>8984</v>
      </c>
      <c r="F283" s="74">
        <v>10598</v>
      </c>
      <c r="G283" s="74">
        <v>9904</v>
      </c>
      <c r="H283" s="74">
        <v>10436</v>
      </c>
      <c r="I283" s="74">
        <v>8945</v>
      </c>
      <c r="J283" s="74">
        <v>8571</v>
      </c>
      <c r="K283" s="74">
        <v>8905</v>
      </c>
      <c r="L283" s="74">
        <v>7510</v>
      </c>
      <c r="M283" s="74">
        <v>9037</v>
      </c>
      <c r="N283" s="74">
        <v>10191</v>
      </c>
      <c r="O283" s="74">
        <v>10419</v>
      </c>
      <c r="P283" s="80">
        <f t="shared" si="67"/>
        <v>113101</v>
      </c>
      <c r="Q283"/>
    </row>
    <row r="284" spans="1:17" ht="12.75" hidden="1" customHeight="1" x14ac:dyDescent="0.25">
      <c r="A284"/>
      <c r="B284" s="399"/>
      <c r="C284" s="182" t="s">
        <v>56</v>
      </c>
      <c r="D284" s="129">
        <v>20</v>
      </c>
      <c r="E284" s="130">
        <v>0</v>
      </c>
      <c r="F284" s="130">
        <v>0</v>
      </c>
      <c r="G284" s="130">
        <v>0</v>
      </c>
      <c r="H284" s="130">
        <v>0</v>
      </c>
      <c r="I284" s="130">
        <v>0</v>
      </c>
      <c r="J284" s="130">
        <v>0</v>
      </c>
      <c r="K284" s="130">
        <v>0</v>
      </c>
      <c r="L284" s="130">
        <v>0</v>
      </c>
      <c r="M284" s="129">
        <v>0</v>
      </c>
      <c r="N284" s="129">
        <v>0</v>
      </c>
      <c r="O284" s="129">
        <v>0</v>
      </c>
      <c r="P284" s="80">
        <f t="shared" si="67"/>
        <v>20</v>
      </c>
      <c r="Q284"/>
    </row>
    <row r="285" spans="1:17" ht="12.75" hidden="1" customHeight="1" thickBot="1" x14ac:dyDescent="0.3">
      <c r="A285"/>
      <c r="B285" s="394"/>
      <c r="C285" s="183" t="s">
        <v>0</v>
      </c>
      <c r="D285" s="43">
        <f t="shared" ref="D285:P285" si="68">SUM(D276:D284)</f>
        <v>22954</v>
      </c>
      <c r="E285" s="43">
        <f t="shared" si="68"/>
        <v>22009</v>
      </c>
      <c r="F285" s="43">
        <f t="shared" si="68"/>
        <v>24506</v>
      </c>
      <c r="G285" s="43">
        <f t="shared" si="68"/>
        <v>23645</v>
      </c>
      <c r="H285" s="43">
        <f t="shared" si="68"/>
        <v>24323</v>
      </c>
      <c r="I285" s="43">
        <f t="shared" si="68"/>
        <v>21954</v>
      </c>
      <c r="J285" s="43">
        <f t="shared" si="68"/>
        <v>23313</v>
      </c>
      <c r="K285" s="43">
        <f t="shared" si="68"/>
        <v>24907</v>
      </c>
      <c r="L285" s="43">
        <f t="shared" si="68"/>
        <v>18872</v>
      </c>
      <c r="M285" s="43">
        <f t="shared" si="68"/>
        <v>24347</v>
      </c>
      <c r="N285" s="43">
        <f t="shared" si="68"/>
        <v>23544</v>
      </c>
      <c r="O285" s="43">
        <f t="shared" si="68"/>
        <v>23240</v>
      </c>
      <c r="P285" s="44">
        <f t="shared" si="68"/>
        <v>277614</v>
      </c>
      <c r="Q285"/>
    </row>
    <row r="286" spans="1:17" ht="12.75" hidden="1" customHeight="1" x14ac:dyDescent="0.25">
      <c r="A286"/>
      <c r="B286" s="396" t="s">
        <v>45</v>
      </c>
      <c r="C286" s="177" t="s">
        <v>114</v>
      </c>
      <c r="D286" s="39">
        <v>3507</v>
      </c>
      <c r="E286" s="40">
        <v>3366</v>
      </c>
      <c r="F286" s="40">
        <v>4098</v>
      </c>
      <c r="G286" s="40">
        <v>3490</v>
      </c>
      <c r="H286" s="40">
        <v>3741</v>
      </c>
      <c r="I286" s="40">
        <v>4014</v>
      </c>
      <c r="J286" s="40">
        <v>4917</v>
      </c>
      <c r="K286" s="40">
        <v>3994</v>
      </c>
      <c r="L286" s="40">
        <v>3816</v>
      </c>
      <c r="M286" s="40">
        <v>5375</v>
      </c>
      <c r="N286" s="40">
        <v>5558</v>
      </c>
      <c r="O286" s="40">
        <v>4592</v>
      </c>
      <c r="P286" s="41">
        <f t="shared" ref="P286:P291" si="69">SUM(D286:O286)</f>
        <v>50468</v>
      </c>
      <c r="Q286"/>
    </row>
    <row r="287" spans="1:17" ht="12.75" hidden="1" customHeight="1" x14ac:dyDescent="0.25">
      <c r="A287"/>
      <c r="B287" s="396"/>
      <c r="C287" s="184" t="s">
        <v>60</v>
      </c>
      <c r="D287" s="25">
        <v>2813</v>
      </c>
      <c r="E287" s="26">
        <v>2766</v>
      </c>
      <c r="F287" s="26">
        <v>3390</v>
      </c>
      <c r="G287" s="26">
        <v>2703</v>
      </c>
      <c r="H287" s="26">
        <v>2966</v>
      </c>
      <c r="I287" s="26">
        <v>3237</v>
      </c>
      <c r="J287" s="26">
        <v>2973</v>
      </c>
      <c r="K287" s="26">
        <v>4148</v>
      </c>
      <c r="L287" s="26">
        <v>3704</v>
      </c>
      <c r="M287" s="26">
        <v>4865</v>
      </c>
      <c r="N287" s="26">
        <v>4280</v>
      </c>
      <c r="O287" s="26">
        <v>4778</v>
      </c>
      <c r="P287" s="27">
        <f t="shared" si="69"/>
        <v>42623</v>
      </c>
      <c r="Q287"/>
    </row>
    <row r="288" spans="1:17" ht="12.75" hidden="1" customHeight="1" x14ac:dyDescent="0.25">
      <c r="A288"/>
      <c r="B288" s="396"/>
      <c r="C288" s="184" t="s">
        <v>126</v>
      </c>
      <c r="D288" s="25">
        <v>0</v>
      </c>
      <c r="E288" s="26">
        <v>0</v>
      </c>
      <c r="F288" s="26">
        <v>11</v>
      </c>
      <c r="G288" s="26">
        <v>51</v>
      </c>
      <c r="H288" s="26">
        <v>62</v>
      </c>
      <c r="I288" s="26">
        <v>55</v>
      </c>
      <c r="J288" s="26">
        <v>29</v>
      </c>
      <c r="K288" s="26">
        <v>43</v>
      </c>
      <c r="L288" s="26">
        <v>49</v>
      </c>
      <c r="M288" s="26">
        <v>127</v>
      </c>
      <c r="N288" s="26">
        <v>160</v>
      </c>
      <c r="O288" s="26">
        <v>140</v>
      </c>
      <c r="P288" s="200">
        <f t="shared" si="69"/>
        <v>727</v>
      </c>
      <c r="Q288"/>
    </row>
    <row r="289" spans="1:17" ht="12.75" hidden="1" customHeight="1" x14ac:dyDescent="0.25">
      <c r="A289"/>
      <c r="B289" s="396"/>
      <c r="C289" s="179" t="s">
        <v>8</v>
      </c>
      <c r="D289" s="29">
        <v>2957</v>
      </c>
      <c r="E289" s="30">
        <v>4141</v>
      </c>
      <c r="F289" s="30">
        <v>13076</v>
      </c>
      <c r="G289" s="30">
        <v>11837</v>
      </c>
      <c r="H289" s="30">
        <v>10668</v>
      </c>
      <c r="I289" s="30">
        <v>9074</v>
      </c>
      <c r="J289" s="30">
        <v>9893</v>
      </c>
      <c r="K289" s="30">
        <v>9805</v>
      </c>
      <c r="L289" s="30">
        <v>8326</v>
      </c>
      <c r="M289" s="30">
        <v>9781</v>
      </c>
      <c r="N289" s="30">
        <v>9001</v>
      </c>
      <c r="O289" s="30">
        <v>8643</v>
      </c>
      <c r="P289" s="80">
        <f t="shared" si="69"/>
        <v>107202</v>
      </c>
      <c r="Q289"/>
    </row>
    <row r="290" spans="1:17" ht="12.75" hidden="1" customHeight="1" x14ac:dyDescent="0.25">
      <c r="A290"/>
      <c r="B290" s="396"/>
      <c r="C290" s="179" t="s">
        <v>51</v>
      </c>
      <c r="D290" s="29">
        <v>326</v>
      </c>
      <c r="E290" s="30">
        <v>231</v>
      </c>
      <c r="F290" s="30">
        <v>280</v>
      </c>
      <c r="G290" s="30">
        <v>203</v>
      </c>
      <c r="H290" s="30">
        <v>140</v>
      </c>
      <c r="I290" s="30">
        <v>119</v>
      </c>
      <c r="J290" s="30">
        <v>195</v>
      </c>
      <c r="K290" s="30">
        <v>157</v>
      </c>
      <c r="L290" s="30">
        <v>55</v>
      </c>
      <c r="M290" s="30">
        <v>25</v>
      </c>
      <c r="N290" s="30">
        <v>19</v>
      </c>
      <c r="O290" s="30">
        <v>15</v>
      </c>
      <c r="P290" s="31">
        <f t="shared" si="69"/>
        <v>1765</v>
      </c>
      <c r="Q290"/>
    </row>
    <row r="291" spans="1:17" ht="12.75" hidden="1" customHeight="1" x14ac:dyDescent="0.25">
      <c r="A291"/>
      <c r="B291" s="396"/>
      <c r="C291" s="179" t="s">
        <v>135</v>
      </c>
      <c r="D291" s="29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1908</v>
      </c>
      <c r="P291" s="31">
        <f t="shared" si="69"/>
        <v>1908</v>
      </c>
      <c r="Q291"/>
    </row>
    <row r="292" spans="1:17" ht="12.75" hidden="1" customHeight="1" thickBot="1" x14ac:dyDescent="0.3">
      <c r="A292"/>
      <c r="B292" s="400"/>
      <c r="C292" s="185" t="s">
        <v>0</v>
      </c>
      <c r="D292" s="36">
        <f t="shared" ref="D292:O292" si="70">SUM(D286:D291)</f>
        <v>9603</v>
      </c>
      <c r="E292" s="36">
        <f t="shared" si="70"/>
        <v>10504</v>
      </c>
      <c r="F292" s="36">
        <f t="shared" si="70"/>
        <v>20855</v>
      </c>
      <c r="G292" s="36">
        <f t="shared" si="70"/>
        <v>18284</v>
      </c>
      <c r="H292" s="36">
        <f t="shared" si="70"/>
        <v>17577</v>
      </c>
      <c r="I292" s="36">
        <f t="shared" si="70"/>
        <v>16499</v>
      </c>
      <c r="J292" s="36">
        <f t="shared" si="70"/>
        <v>18007</v>
      </c>
      <c r="K292" s="36">
        <f t="shared" si="70"/>
        <v>18147</v>
      </c>
      <c r="L292" s="36">
        <f t="shared" si="70"/>
        <v>15950</v>
      </c>
      <c r="M292" s="36">
        <f t="shared" si="70"/>
        <v>20173</v>
      </c>
      <c r="N292" s="36">
        <f t="shared" si="70"/>
        <v>19018</v>
      </c>
      <c r="O292" s="36">
        <f t="shared" si="70"/>
        <v>20076</v>
      </c>
      <c r="P292" s="37">
        <f>SUM(P286:P291)</f>
        <v>204693</v>
      </c>
      <c r="Q292"/>
    </row>
    <row r="293" spans="1:17" ht="12.75" hidden="1" customHeight="1" x14ac:dyDescent="0.25">
      <c r="A293"/>
      <c r="B293" s="392" t="s">
        <v>9</v>
      </c>
      <c r="C293" s="177" t="s">
        <v>11</v>
      </c>
      <c r="D293" s="39">
        <v>3903</v>
      </c>
      <c r="E293" s="40">
        <v>3333</v>
      </c>
      <c r="F293" s="40">
        <v>4540</v>
      </c>
      <c r="G293" s="40">
        <v>4237</v>
      </c>
      <c r="H293" s="40">
        <v>3073</v>
      </c>
      <c r="I293" s="40">
        <v>5126</v>
      </c>
      <c r="J293" s="40">
        <v>4525</v>
      </c>
      <c r="K293" s="40">
        <v>2593</v>
      </c>
      <c r="L293" s="40">
        <v>4874</v>
      </c>
      <c r="M293" s="40">
        <v>4981</v>
      </c>
      <c r="N293" s="40">
        <v>5090</v>
      </c>
      <c r="O293" s="40">
        <v>3905</v>
      </c>
      <c r="P293" s="41">
        <f>SUM(D293:O293)</f>
        <v>50180</v>
      </c>
      <c r="Q293"/>
    </row>
    <row r="294" spans="1:17" ht="12.75" hidden="1" customHeight="1" x14ac:dyDescent="0.25">
      <c r="A294"/>
      <c r="B294" s="393"/>
      <c r="C294" s="184" t="s">
        <v>12</v>
      </c>
      <c r="D294" s="25">
        <v>6247</v>
      </c>
      <c r="E294" s="26">
        <v>7194</v>
      </c>
      <c r="F294" s="26">
        <v>8881</v>
      </c>
      <c r="G294" s="26">
        <v>9444</v>
      </c>
      <c r="H294" s="26">
        <v>9304</v>
      </c>
      <c r="I294" s="26">
        <v>8442</v>
      </c>
      <c r="J294" s="26">
        <v>8003</v>
      </c>
      <c r="K294" s="26">
        <v>6157</v>
      </c>
      <c r="L294" s="26">
        <v>6876</v>
      </c>
      <c r="M294" s="26">
        <v>9261</v>
      </c>
      <c r="N294" s="26">
        <v>8858</v>
      </c>
      <c r="O294" s="26">
        <v>9328</v>
      </c>
      <c r="P294" s="27">
        <f>SUM(D294:O294)</f>
        <v>97995</v>
      </c>
      <c r="Q294"/>
    </row>
    <row r="295" spans="1:17" ht="12.75" hidden="1" customHeight="1" thickBot="1" x14ac:dyDescent="0.3">
      <c r="A295"/>
      <c r="B295" s="394"/>
      <c r="C295" s="183" t="s">
        <v>0</v>
      </c>
      <c r="D295" s="43">
        <f t="shared" ref="D295:L295" si="71">SUM(D293:D294)</f>
        <v>10150</v>
      </c>
      <c r="E295" s="43">
        <f t="shared" si="71"/>
        <v>10527</v>
      </c>
      <c r="F295" s="43">
        <f t="shared" si="71"/>
        <v>13421</v>
      </c>
      <c r="G295" s="43">
        <f t="shared" si="71"/>
        <v>13681</v>
      </c>
      <c r="H295" s="43">
        <f t="shared" si="71"/>
        <v>12377</v>
      </c>
      <c r="I295" s="43">
        <f t="shared" si="71"/>
        <v>13568</v>
      </c>
      <c r="J295" s="43">
        <f t="shared" si="71"/>
        <v>12528</v>
      </c>
      <c r="K295" s="43">
        <f t="shared" si="71"/>
        <v>8750</v>
      </c>
      <c r="L295" s="43">
        <f t="shared" si="71"/>
        <v>11750</v>
      </c>
      <c r="M295" s="43">
        <f>SUM(M293:M294)</f>
        <v>14242</v>
      </c>
      <c r="N295" s="43">
        <f>SUM(N293:N294)</f>
        <v>13948</v>
      </c>
      <c r="O295" s="43">
        <f>SUM(O293:O294)</f>
        <v>13233</v>
      </c>
      <c r="P295" s="44">
        <f>SUM(P293:P294)</f>
        <v>148175</v>
      </c>
      <c r="Q295"/>
    </row>
    <row r="296" spans="1:17" ht="12.75" hidden="1" customHeight="1" x14ac:dyDescent="0.25">
      <c r="A296"/>
      <c r="B296" s="392" t="s">
        <v>10</v>
      </c>
      <c r="C296" s="177" t="s">
        <v>13</v>
      </c>
      <c r="D296" s="39">
        <f>80+181+478</f>
        <v>739</v>
      </c>
      <c r="E296" s="40">
        <v>784</v>
      </c>
      <c r="F296" s="40">
        <v>955</v>
      </c>
      <c r="G296" s="40">
        <v>804</v>
      </c>
      <c r="H296" s="40">
        <v>744</v>
      </c>
      <c r="I296" s="40">
        <v>796</v>
      </c>
      <c r="J296" s="40">
        <v>755</v>
      </c>
      <c r="K296" s="40">
        <v>536</v>
      </c>
      <c r="L296" s="40">
        <v>610</v>
      </c>
      <c r="M296" s="40">
        <v>732</v>
      </c>
      <c r="N296" s="40">
        <v>596</v>
      </c>
      <c r="O296" s="40">
        <v>579</v>
      </c>
      <c r="P296" s="41">
        <f>SUM(D296:O296)</f>
        <v>8630</v>
      </c>
      <c r="Q296"/>
    </row>
    <row r="297" spans="1:17" ht="12.75" hidden="1" customHeight="1" x14ac:dyDescent="0.25">
      <c r="A297"/>
      <c r="B297" s="393"/>
      <c r="C297" s="184" t="s">
        <v>14</v>
      </c>
      <c r="D297" s="25">
        <f>1200+376</f>
        <v>1576</v>
      </c>
      <c r="E297" s="26">
        <v>1416</v>
      </c>
      <c r="F297" s="26">
        <v>1997</v>
      </c>
      <c r="G297" s="26">
        <v>2226</v>
      </c>
      <c r="H297" s="26">
        <v>2096</v>
      </c>
      <c r="I297" s="26">
        <v>1904</v>
      </c>
      <c r="J297" s="26">
        <v>1752</v>
      </c>
      <c r="K297" s="26">
        <v>1717</v>
      </c>
      <c r="L297" s="26">
        <v>1193</v>
      </c>
      <c r="M297" s="26">
        <v>1668</v>
      </c>
      <c r="N297" s="26">
        <v>1704</v>
      </c>
      <c r="O297" s="26">
        <v>1372</v>
      </c>
      <c r="P297" s="27">
        <f>SUM(D297:O297)</f>
        <v>20621</v>
      </c>
      <c r="Q297"/>
    </row>
    <row r="298" spans="1:17" ht="12.75" hidden="1" customHeight="1" thickBot="1" x14ac:dyDescent="0.3">
      <c r="A298"/>
      <c r="B298" s="394"/>
      <c r="C298" s="183" t="s">
        <v>0</v>
      </c>
      <c r="D298" s="43">
        <f t="shared" ref="D298:I298" si="72">SUM(D296:D297)</f>
        <v>2315</v>
      </c>
      <c r="E298" s="43">
        <f t="shared" si="72"/>
        <v>2200</v>
      </c>
      <c r="F298" s="43">
        <f t="shared" si="72"/>
        <v>2952</v>
      </c>
      <c r="G298" s="43">
        <f t="shared" si="72"/>
        <v>3030</v>
      </c>
      <c r="H298" s="43">
        <f t="shared" si="72"/>
        <v>2840</v>
      </c>
      <c r="I298" s="43">
        <f t="shared" si="72"/>
        <v>2700</v>
      </c>
      <c r="J298" s="43">
        <f t="shared" ref="J298:P298" si="73">SUM(J296:J297)</f>
        <v>2507</v>
      </c>
      <c r="K298" s="43">
        <f t="shared" si="73"/>
        <v>2253</v>
      </c>
      <c r="L298" s="43">
        <f t="shared" si="73"/>
        <v>1803</v>
      </c>
      <c r="M298" s="43">
        <f t="shared" si="73"/>
        <v>2400</v>
      </c>
      <c r="N298" s="43">
        <f t="shared" si="73"/>
        <v>2300</v>
      </c>
      <c r="O298" s="43">
        <f t="shared" si="73"/>
        <v>1951</v>
      </c>
      <c r="P298" s="44">
        <f t="shared" si="73"/>
        <v>29251</v>
      </c>
      <c r="Q298"/>
    </row>
    <row r="299" spans="1:17" ht="4.5" hidden="1" customHeight="1" x14ac:dyDescent="0.25">
      <c r="A299"/>
      <c r="B299" s="401" t="s">
        <v>4</v>
      </c>
      <c r="C299" s="186" t="s">
        <v>116</v>
      </c>
      <c r="D299" s="158">
        <v>1418</v>
      </c>
      <c r="E299" s="158">
        <v>1062</v>
      </c>
      <c r="F299" s="158">
        <v>1233</v>
      </c>
      <c r="G299" s="158">
        <v>1103</v>
      </c>
      <c r="H299" s="158">
        <v>967</v>
      </c>
      <c r="I299" s="158">
        <v>1035</v>
      </c>
      <c r="J299" s="158">
        <v>890</v>
      </c>
      <c r="K299" s="158">
        <v>1138</v>
      </c>
      <c r="L299" s="158">
        <v>1024</v>
      </c>
      <c r="M299" s="158">
        <v>1406</v>
      </c>
      <c r="N299" s="158">
        <v>1550</v>
      </c>
      <c r="O299" s="158">
        <v>1591</v>
      </c>
      <c r="P299" s="159">
        <f>SUM(D299:O299)</f>
        <v>14417</v>
      </c>
      <c r="Q299"/>
    </row>
    <row r="300" spans="1:17" hidden="1" x14ac:dyDescent="0.25">
      <c r="A300"/>
      <c r="B300" s="402"/>
      <c r="C300" s="187" t="s">
        <v>118</v>
      </c>
      <c r="D300" s="134">
        <v>4047</v>
      </c>
      <c r="E300" s="134">
        <v>3055</v>
      </c>
      <c r="F300" s="134">
        <v>3618</v>
      </c>
      <c r="G300" s="134">
        <v>3132</v>
      </c>
      <c r="H300" s="134">
        <v>2976</v>
      </c>
      <c r="I300" s="134">
        <v>3116</v>
      </c>
      <c r="J300" s="134">
        <v>2621</v>
      </c>
      <c r="K300" s="134">
        <v>2982</v>
      </c>
      <c r="L300" s="134">
        <v>2767</v>
      </c>
      <c r="M300" s="134">
        <v>3411</v>
      </c>
      <c r="N300" s="134">
        <v>2889</v>
      </c>
      <c r="O300" s="134">
        <v>2605</v>
      </c>
      <c r="P300" s="135">
        <f>SUM(D300:O300)</f>
        <v>37219</v>
      </c>
    </row>
    <row r="301" spans="1:17" ht="9.9" hidden="1" customHeight="1" x14ac:dyDescent="0.25">
      <c r="A301"/>
      <c r="B301" s="402"/>
      <c r="C301" s="179" t="s">
        <v>133</v>
      </c>
      <c r="D301" s="29">
        <v>939</v>
      </c>
      <c r="E301" s="30">
        <v>843</v>
      </c>
      <c r="F301" s="30">
        <v>992</v>
      </c>
      <c r="G301" s="30">
        <v>913</v>
      </c>
      <c r="H301" s="30">
        <v>836</v>
      </c>
      <c r="I301" s="30">
        <v>622</v>
      </c>
      <c r="J301" s="30">
        <v>501</v>
      </c>
      <c r="K301" s="30">
        <v>405</v>
      </c>
      <c r="L301" s="30">
        <v>328</v>
      </c>
      <c r="M301" s="30">
        <v>309</v>
      </c>
      <c r="N301" s="30">
        <v>882</v>
      </c>
      <c r="O301" s="30">
        <v>2139</v>
      </c>
      <c r="P301" s="31">
        <f>SUM(D301:O301)</f>
        <v>9709</v>
      </c>
    </row>
    <row r="302" spans="1:17" s="20" customFormat="1" ht="9.9" hidden="1" customHeight="1" thickBot="1" x14ac:dyDescent="0.3">
      <c r="A302"/>
      <c r="B302" s="403"/>
      <c r="C302" s="42" t="s">
        <v>0</v>
      </c>
      <c r="D302" s="43">
        <f>SUM(D299:D301)</f>
        <v>6404</v>
      </c>
      <c r="E302" s="43">
        <f t="shared" ref="E302:P302" si="74">SUM(E299:E301)</f>
        <v>4960</v>
      </c>
      <c r="F302" s="43">
        <f t="shared" si="74"/>
        <v>5843</v>
      </c>
      <c r="G302" s="43">
        <f t="shared" si="74"/>
        <v>5148</v>
      </c>
      <c r="H302" s="43">
        <f t="shared" si="74"/>
        <v>4779</v>
      </c>
      <c r="I302" s="43">
        <f t="shared" si="74"/>
        <v>4773</v>
      </c>
      <c r="J302" s="43">
        <f t="shared" si="74"/>
        <v>4012</v>
      </c>
      <c r="K302" s="43">
        <f t="shared" si="74"/>
        <v>4525</v>
      </c>
      <c r="L302" s="43">
        <f t="shared" si="74"/>
        <v>4119</v>
      </c>
      <c r="M302" s="43">
        <f t="shared" si="74"/>
        <v>5126</v>
      </c>
      <c r="N302" s="43">
        <f t="shared" si="74"/>
        <v>5321</v>
      </c>
      <c r="O302" s="43">
        <f t="shared" si="74"/>
        <v>6335</v>
      </c>
      <c r="P302" s="43">
        <f t="shared" si="74"/>
        <v>61345</v>
      </c>
    </row>
    <row r="303" spans="1:17" ht="4.5" hidden="1" customHeight="1" thickBot="1" x14ac:dyDescent="0.3">
      <c r="A303"/>
      <c r="B303" s="406" t="s">
        <v>2</v>
      </c>
      <c r="C303" s="407"/>
      <c r="D303" s="45">
        <f t="shared" ref="D303:O303" si="75">D285+D292+D298+D295+D302</f>
        <v>51426</v>
      </c>
      <c r="E303" s="45">
        <f t="shared" si="75"/>
        <v>50200</v>
      </c>
      <c r="F303" s="45">
        <f t="shared" si="75"/>
        <v>67577</v>
      </c>
      <c r="G303" s="45">
        <f t="shared" si="75"/>
        <v>63788</v>
      </c>
      <c r="H303" s="45">
        <f t="shared" si="75"/>
        <v>61896</v>
      </c>
      <c r="I303" s="45">
        <f t="shared" si="75"/>
        <v>59494</v>
      </c>
      <c r="J303" s="45">
        <f t="shared" si="75"/>
        <v>60367</v>
      </c>
      <c r="K303" s="45">
        <f t="shared" si="75"/>
        <v>58582</v>
      </c>
      <c r="L303" s="45">
        <f t="shared" si="75"/>
        <v>52494</v>
      </c>
      <c r="M303" s="45">
        <f t="shared" si="75"/>
        <v>66288</v>
      </c>
      <c r="N303" s="45">
        <f t="shared" si="75"/>
        <v>64131</v>
      </c>
      <c r="O303" s="45">
        <f t="shared" si="75"/>
        <v>64835</v>
      </c>
      <c r="P303" s="45">
        <f>SUM(P285,P292,P302,P295,P298)</f>
        <v>721078</v>
      </c>
      <c r="Q303"/>
    </row>
    <row r="304" spans="1:17" hidden="1" x14ac:dyDescent="0.25">
      <c r="A304"/>
      <c r="J304" s="118"/>
    </row>
    <row r="305" spans="1:17" ht="9.9" hidden="1" customHeight="1" x14ac:dyDescent="0.25">
      <c r="A305"/>
      <c r="B305" s="84" t="s">
        <v>69</v>
      </c>
      <c r="C305" s="85"/>
      <c r="D305" s="86">
        <f t="shared" ref="D305:P305" si="76">SUM(D306:D307)</f>
        <v>1298</v>
      </c>
      <c r="E305" s="86">
        <f t="shared" si="76"/>
        <v>1282</v>
      </c>
      <c r="F305" s="86">
        <f t="shared" si="76"/>
        <v>1097</v>
      </c>
      <c r="G305" s="86">
        <f t="shared" si="76"/>
        <v>852</v>
      </c>
      <c r="H305" s="86">
        <f t="shared" si="76"/>
        <v>814</v>
      </c>
      <c r="I305" s="86">
        <f t="shared" si="76"/>
        <v>746</v>
      </c>
      <c r="J305" s="86">
        <f t="shared" si="76"/>
        <v>417</v>
      </c>
      <c r="K305" s="86">
        <f t="shared" si="76"/>
        <v>488</v>
      </c>
      <c r="L305" s="86">
        <f t="shared" si="76"/>
        <v>360</v>
      </c>
      <c r="M305" s="86">
        <f t="shared" si="76"/>
        <v>541</v>
      </c>
      <c r="N305" s="86">
        <f t="shared" si="76"/>
        <v>687</v>
      </c>
      <c r="O305" s="86">
        <f t="shared" si="76"/>
        <v>844</v>
      </c>
      <c r="P305" s="87">
        <f t="shared" si="76"/>
        <v>9426</v>
      </c>
    </row>
    <row r="306" spans="1:17" ht="9.9" hidden="1" customHeight="1" x14ac:dyDescent="0.25">
      <c r="A306"/>
      <c r="B306" s="88"/>
      <c r="C306" s="89" t="s">
        <v>144</v>
      </c>
      <c r="D306" s="102">
        <v>1086</v>
      </c>
      <c r="E306" s="102">
        <v>949</v>
      </c>
      <c r="F306" s="90">
        <v>886</v>
      </c>
      <c r="G306" s="103">
        <v>485</v>
      </c>
      <c r="H306" s="90">
        <v>548</v>
      </c>
      <c r="I306" s="100">
        <v>534</v>
      </c>
      <c r="J306" s="100">
        <v>252</v>
      </c>
      <c r="K306" s="90">
        <v>113</v>
      </c>
      <c r="L306" s="90">
        <v>102</v>
      </c>
      <c r="M306" s="90">
        <v>183</v>
      </c>
      <c r="N306" s="90">
        <v>187</v>
      </c>
      <c r="O306" s="90">
        <v>281</v>
      </c>
      <c r="P306" s="202">
        <f>SUM(D306:O306)</f>
        <v>5606</v>
      </c>
    </row>
    <row r="307" spans="1:17" s="20" customFormat="1" ht="9.9" hidden="1" customHeight="1" x14ac:dyDescent="0.25">
      <c r="B307" s="92"/>
      <c r="C307" s="89" t="s">
        <v>143</v>
      </c>
      <c r="D307" s="102">
        <v>212</v>
      </c>
      <c r="E307" s="102">
        <v>333</v>
      </c>
      <c r="F307" s="90">
        <v>211</v>
      </c>
      <c r="G307" s="103">
        <v>367</v>
      </c>
      <c r="H307" s="90">
        <v>266</v>
      </c>
      <c r="I307" s="100">
        <v>212</v>
      </c>
      <c r="J307" s="203">
        <v>165</v>
      </c>
      <c r="K307" s="204">
        <v>375</v>
      </c>
      <c r="L307" s="204">
        <v>258</v>
      </c>
      <c r="M307" s="204">
        <v>358</v>
      </c>
      <c r="N307" s="204">
        <v>500</v>
      </c>
      <c r="O307" s="204">
        <v>563</v>
      </c>
      <c r="P307" s="202">
        <f>SUM(D307:O307)</f>
        <v>3820</v>
      </c>
    </row>
    <row r="308" spans="1:17" ht="4.5" hidden="1" customHeight="1" x14ac:dyDescent="0.25">
      <c r="A308"/>
      <c r="J308" s="118"/>
      <c r="Q308"/>
    </row>
    <row r="309" spans="1:17" hidden="1" x14ac:dyDescent="0.25">
      <c r="A309"/>
      <c r="B309" s="95" t="s">
        <v>25</v>
      </c>
      <c r="C309" s="96"/>
      <c r="D309" s="86">
        <f t="shared" ref="D309:P309" si="77">SUM(D310:D312)</f>
        <v>5520</v>
      </c>
      <c r="E309" s="86">
        <f t="shared" si="77"/>
        <v>5079</v>
      </c>
      <c r="F309" s="86">
        <f t="shared" si="77"/>
        <v>5685</v>
      </c>
      <c r="G309" s="86">
        <f t="shared" si="77"/>
        <v>5699</v>
      </c>
      <c r="H309" s="86">
        <f t="shared" si="77"/>
        <v>5542</v>
      </c>
      <c r="I309" s="86">
        <f t="shared" si="77"/>
        <v>5245</v>
      </c>
      <c r="J309" s="86">
        <f t="shared" si="77"/>
        <v>5948</v>
      </c>
      <c r="K309" s="86">
        <f t="shared" si="77"/>
        <v>5881</v>
      </c>
      <c r="L309" s="86">
        <f t="shared" si="77"/>
        <v>4396</v>
      </c>
      <c r="M309" s="86">
        <f t="shared" si="77"/>
        <v>6326</v>
      </c>
      <c r="N309" s="86">
        <f t="shared" si="77"/>
        <v>5335</v>
      </c>
      <c r="O309" s="86">
        <f t="shared" si="77"/>
        <v>5190</v>
      </c>
      <c r="P309" s="86">
        <f t="shared" si="77"/>
        <v>65846</v>
      </c>
    </row>
    <row r="310" spans="1:17" ht="9.75" hidden="1" customHeight="1" x14ac:dyDescent="0.25">
      <c r="A310"/>
      <c r="B310" s="88"/>
      <c r="C310" s="89" t="s">
        <v>26</v>
      </c>
      <c r="D310" s="90">
        <v>0</v>
      </c>
      <c r="E310" s="90">
        <v>0</v>
      </c>
      <c r="F310" s="90">
        <v>0</v>
      </c>
      <c r="G310" s="90">
        <v>0</v>
      </c>
      <c r="H310" s="90">
        <v>0</v>
      </c>
      <c r="I310" s="90"/>
      <c r="J310" s="90"/>
      <c r="K310" s="90"/>
      <c r="L310" s="90"/>
      <c r="M310" s="90"/>
      <c r="N310" s="90"/>
      <c r="O310" s="90"/>
      <c r="P310" s="91">
        <f>SUM(D310:O310)</f>
        <v>0</v>
      </c>
    </row>
    <row r="311" spans="1:17" ht="9.75" hidden="1" customHeight="1" x14ac:dyDescent="0.25">
      <c r="B311" s="88"/>
      <c r="C311" s="89" t="s">
        <v>53</v>
      </c>
      <c r="D311" s="125">
        <v>5230</v>
      </c>
      <c r="E311" s="125">
        <v>4781</v>
      </c>
      <c r="F311" s="125">
        <v>5377</v>
      </c>
      <c r="G311" s="90">
        <v>5365</v>
      </c>
      <c r="H311" s="90">
        <v>5191</v>
      </c>
      <c r="I311" s="90">
        <v>4941</v>
      </c>
      <c r="J311" s="90">
        <v>5610</v>
      </c>
      <c r="K311" s="90">
        <v>5541</v>
      </c>
      <c r="L311" s="90">
        <v>4147</v>
      </c>
      <c r="M311" s="90">
        <v>5993</v>
      </c>
      <c r="N311" s="90">
        <v>4909</v>
      </c>
      <c r="O311" s="90">
        <v>4639</v>
      </c>
      <c r="P311" s="202">
        <f>SUM(D311:O311)</f>
        <v>61724</v>
      </c>
    </row>
    <row r="312" spans="1:17" ht="4.5" hidden="1" customHeight="1" x14ac:dyDescent="0.25">
      <c r="B312" s="92"/>
      <c r="C312" s="131" t="s">
        <v>142</v>
      </c>
      <c r="D312" s="125">
        <v>290</v>
      </c>
      <c r="E312" s="125">
        <v>298</v>
      </c>
      <c r="F312" s="125">
        <v>308</v>
      </c>
      <c r="G312" s="125">
        <v>334</v>
      </c>
      <c r="H312" s="125">
        <v>351</v>
      </c>
      <c r="I312" s="125">
        <v>304</v>
      </c>
      <c r="J312" s="125">
        <v>338</v>
      </c>
      <c r="K312" s="125">
        <v>340</v>
      </c>
      <c r="L312" s="125">
        <v>249</v>
      </c>
      <c r="M312" s="125">
        <v>333</v>
      </c>
      <c r="N312" s="125">
        <v>426</v>
      </c>
      <c r="O312" s="204">
        <v>551</v>
      </c>
      <c r="P312" s="202">
        <f>SUM(D312:O312)</f>
        <v>4122</v>
      </c>
      <c r="Q312"/>
    </row>
    <row r="313" spans="1:17" ht="9.9" hidden="1" customHeight="1" x14ac:dyDescent="0.25">
      <c r="J313" s="118"/>
    </row>
    <row r="314" spans="1:17" ht="9.9" hidden="1" customHeight="1" x14ac:dyDescent="0.25">
      <c r="B314" s="84" t="s">
        <v>27</v>
      </c>
      <c r="C314" s="85"/>
      <c r="D314" s="86">
        <f t="shared" ref="D314:P314" si="78">SUM(D315:D316)</f>
        <v>9601</v>
      </c>
      <c r="E314" s="86">
        <f t="shared" si="78"/>
        <v>8984</v>
      </c>
      <c r="F314" s="86">
        <f t="shared" si="78"/>
        <v>10598</v>
      </c>
      <c r="G314" s="86">
        <f t="shared" si="78"/>
        <v>9904</v>
      </c>
      <c r="H314" s="86">
        <f t="shared" si="78"/>
        <v>10436</v>
      </c>
      <c r="I314" s="86">
        <f t="shared" si="78"/>
        <v>8945</v>
      </c>
      <c r="J314" s="86">
        <f t="shared" si="78"/>
        <v>8571</v>
      </c>
      <c r="K314" s="86">
        <f t="shared" si="78"/>
        <v>8905</v>
      </c>
      <c r="L314" s="86">
        <f t="shared" si="78"/>
        <v>7510</v>
      </c>
      <c r="M314" s="86">
        <f t="shared" si="78"/>
        <v>9037</v>
      </c>
      <c r="N314" s="86">
        <f t="shared" si="78"/>
        <v>10191</v>
      </c>
      <c r="O314" s="86">
        <f t="shared" si="78"/>
        <v>10419</v>
      </c>
      <c r="P314" s="86">
        <f t="shared" si="78"/>
        <v>113101</v>
      </c>
    </row>
    <row r="315" spans="1:17" ht="9.9" hidden="1" customHeight="1" x14ac:dyDescent="0.25">
      <c r="B315" s="88"/>
      <c r="C315" s="150" t="s">
        <v>80</v>
      </c>
      <c r="D315" s="151">
        <v>7662</v>
      </c>
      <c r="E315" s="151">
        <v>7359</v>
      </c>
      <c r="F315" s="152">
        <v>8653</v>
      </c>
      <c r="G315" s="153">
        <v>8176</v>
      </c>
      <c r="H315" s="152">
        <v>7915</v>
      </c>
      <c r="I315" s="154">
        <v>6674</v>
      </c>
      <c r="J315" s="154">
        <v>6567</v>
      </c>
      <c r="K315" s="152">
        <v>7600</v>
      </c>
      <c r="L315" s="152">
        <v>5564</v>
      </c>
      <c r="M315" s="152">
        <v>6737</v>
      </c>
      <c r="N315" s="152">
        <v>7614</v>
      </c>
      <c r="O315" s="152">
        <v>8012</v>
      </c>
      <c r="P315" s="155">
        <f>SUM(D315:O315)</f>
        <v>88533</v>
      </c>
    </row>
    <row r="316" spans="1:17" s="199" customFormat="1" ht="6" hidden="1" customHeight="1" x14ac:dyDescent="0.25">
      <c r="A316" s="20"/>
      <c r="B316" s="92"/>
      <c r="C316" s="89" t="s">
        <v>143</v>
      </c>
      <c r="D316" s="102">
        <v>1939</v>
      </c>
      <c r="E316" s="102">
        <v>1625</v>
      </c>
      <c r="F316" s="90">
        <v>1945</v>
      </c>
      <c r="G316" s="103">
        <v>1728</v>
      </c>
      <c r="H316" s="90">
        <v>2521</v>
      </c>
      <c r="I316" s="100">
        <v>2271</v>
      </c>
      <c r="J316" s="203">
        <v>2004</v>
      </c>
      <c r="K316" s="204">
        <v>1305</v>
      </c>
      <c r="L316" s="204">
        <v>1946</v>
      </c>
      <c r="M316" s="204">
        <v>2300</v>
      </c>
      <c r="N316" s="204">
        <v>2577</v>
      </c>
      <c r="O316" s="204">
        <v>2407</v>
      </c>
      <c r="P316" s="202">
        <f>SUM(D316:O316)</f>
        <v>24568</v>
      </c>
      <c r="Q316" s="198"/>
    </row>
    <row r="317" spans="1:17" hidden="1" x14ac:dyDescent="0.25">
      <c r="J317" s="118"/>
    </row>
    <row r="318" spans="1:17" ht="9.9" hidden="1" customHeight="1" x14ac:dyDescent="0.25">
      <c r="B318" s="84" t="s">
        <v>128</v>
      </c>
      <c r="C318" s="85"/>
      <c r="D318" s="86">
        <f t="shared" ref="D318:P318" si="79">SUM(D319:D320)</f>
        <v>3507</v>
      </c>
      <c r="E318" s="86">
        <f t="shared" si="79"/>
        <v>3366</v>
      </c>
      <c r="F318" s="86">
        <f t="shared" si="79"/>
        <v>4098</v>
      </c>
      <c r="G318" s="86">
        <f t="shared" si="79"/>
        <v>3490</v>
      </c>
      <c r="H318" s="86">
        <f t="shared" si="79"/>
        <v>3741</v>
      </c>
      <c r="I318" s="86">
        <f t="shared" si="79"/>
        <v>4014</v>
      </c>
      <c r="J318" s="86">
        <f t="shared" si="79"/>
        <v>4917</v>
      </c>
      <c r="K318" s="86">
        <f t="shared" si="79"/>
        <v>3994</v>
      </c>
      <c r="L318" s="86">
        <f t="shared" si="79"/>
        <v>3816</v>
      </c>
      <c r="M318" s="86">
        <f t="shared" si="79"/>
        <v>5375</v>
      </c>
      <c r="N318" s="86">
        <f t="shared" si="79"/>
        <v>5558</v>
      </c>
      <c r="O318" s="86">
        <f t="shared" si="79"/>
        <v>4592</v>
      </c>
      <c r="P318" s="87">
        <f t="shared" si="79"/>
        <v>50468</v>
      </c>
    </row>
    <row r="319" spans="1:17" ht="9.9" hidden="1" customHeight="1" x14ac:dyDescent="0.25">
      <c r="B319" s="88"/>
      <c r="C319" s="89" t="s">
        <v>129</v>
      </c>
      <c r="D319" s="102">
        <v>3507</v>
      </c>
      <c r="E319" s="102">
        <v>3366</v>
      </c>
      <c r="F319" s="90">
        <v>4098</v>
      </c>
      <c r="G319" s="103">
        <v>3490</v>
      </c>
      <c r="H319" s="90">
        <v>3437</v>
      </c>
      <c r="I319" s="100">
        <v>2938</v>
      </c>
      <c r="J319" s="203">
        <v>3600</v>
      </c>
      <c r="K319" s="204">
        <v>3346</v>
      </c>
      <c r="L319" s="204">
        <v>2434</v>
      </c>
      <c r="M319" s="204">
        <v>2902</v>
      </c>
      <c r="N319" s="204">
        <v>2652</v>
      </c>
      <c r="O319" s="204">
        <v>3505</v>
      </c>
      <c r="P319" s="202">
        <f>SUM(D319:O319)</f>
        <v>39275</v>
      </c>
    </row>
    <row r="320" spans="1:17" ht="6" hidden="1" customHeight="1" x14ac:dyDescent="0.25">
      <c r="B320" s="88"/>
      <c r="C320" s="89" t="s">
        <v>75</v>
      </c>
      <c r="D320" s="102">
        <v>0</v>
      </c>
      <c r="E320" s="102">
        <v>0</v>
      </c>
      <c r="F320" s="90">
        <v>0</v>
      </c>
      <c r="G320" s="103">
        <v>0</v>
      </c>
      <c r="H320" s="90">
        <v>304</v>
      </c>
      <c r="I320" s="100">
        <v>1076</v>
      </c>
      <c r="J320" s="100">
        <v>1317</v>
      </c>
      <c r="K320" s="90">
        <v>648</v>
      </c>
      <c r="L320" s="90">
        <v>1382</v>
      </c>
      <c r="M320" s="90">
        <v>2473</v>
      </c>
      <c r="N320" s="90">
        <v>2906</v>
      </c>
      <c r="O320" s="90">
        <v>1087</v>
      </c>
      <c r="P320" s="202">
        <f>SUM(D320:O320)</f>
        <v>11193</v>
      </c>
    </row>
    <row r="321" spans="1:17" hidden="1" x14ac:dyDescent="0.25">
      <c r="A321" s="193"/>
      <c r="B321" s="194"/>
      <c r="C321" s="194"/>
      <c r="D321" s="195"/>
      <c r="E321" s="195"/>
      <c r="F321" s="195"/>
      <c r="G321" s="195"/>
      <c r="H321" s="195"/>
      <c r="I321" s="195"/>
      <c r="J321" s="196"/>
      <c r="K321" s="196"/>
      <c r="L321" s="196"/>
      <c r="M321" s="196"/>
      <c r="N321" s="196"/>
      <c r="O321" s="196"/>
      <c r="P321" s="197"/>
    </row>
    <row r="322" spans="1:17" ht="9.9" hidden="1" customHeight="1" x14ac:dyDescent="0.25">
      <c r="B322" s="84" t="s">
        <v>122</v>
      </c>
      <c r="C322" s="85"/>
      <c r="D322" s="86">
        <f t="shared" ref="D322:P322" si="80">SUM(D323:D324)</f>
        <v>2957</v>
      </c>
      <c r="E322" s="86">
        <f t="shared" si="80"/>
        <v>4141</v>
      </c>
      <c r="F322" s="86">
        <f t="shared" si="80"/>
        <v>13076</v>
      </c>
      <c r="G322" s="86">
        <f t="shared" si="80"/>
        <v>11837</v>
      </c>
      <c r="H322" s="86">
        <f t="shared" si="80"/>
        <v>10668</v>
      </c>
      <c r="I322" s="86">
        <f t="shared" si="80"/>
        <v>9074</v>
      </c>
      <c r="J322" s="86">
        <f t="shared" si="80"/>
        <v>9893</v>
      </c>
      <c r="K322" s="86">
        <f t="shared" si="80"/>
        <v>9805</v>
      </c>
      <c r="L322" s="86">
        <f t="shared" si="80"/>
        <v>8326</v>
      </c>
      <c r="M322" s="86">
        <f t="shared" si="80"/>
        <v>9781</v>
      </c>
      <c r="N322" s="86">
        <f t="shared" si="80"/>
        <v>9001</v>
      </c>
      <c r="O322" s="86">
        <f t="shared" si="80"/>
        <v>8643</v>
      </c>
      <c r="P322" s="87">
        <f t="shared" si="80"/>
        <v>107202</v>
      </c>
    </row>
    <row r="323" spans="1:17" ht="9.9" hidden="1" customHeight="1" x14ac:dyDescent="0.25">
      <c r="B323" s="88"/>
      <c r="C323" s="89" t="s">
        <v>123</v>
      </c>
      <c r="D323" s="102">
        <v>2957</v>
      </c>
      <c r="E323" s="102">
        <v>2494</v>
      </c>
      <c r="F323" s="90">
        <v>1457</v>
      </c>
      <c r="G323" s="103">
        <v>841</v>
      </c>
      <c r="H323" s="90">
        <v>296</v>
      </c>
      <c r="I323" s="100">
        <v>10</v>
      </c>
      <c r="J323" s="100">
        <v>2</v>
      </c>
      <c r="K323" s="90">
        <v>2</v>
      </c>
      <c r="L323" s="90">
        <v>0</v>
      </c>
      <c r="M323" s="90">
        <v>0</v>
      </c>
      <c r="N323" s="90">
        <v>0</v>
      </c>
      <c r="O323" s="90">
        <v>0</v>
      </c>
      <c r="P323" s="202">
        <f>SUM(D323:O323)</f>
        <v>8059</v>
      </c>
    </row>
    <row r="324" spans="1:17" s="16" customFormat="1" ht="6.75" hidden="1" customHeight="1" x14ac:dyDescent="0.25">
      <c r="A324" s="20"/>
      <c r="B324" s="92"/>
      <c r="C324" s="89" t="s">
        <v>124</v>
      </c>
      <c r="D324" s="102">
        <v>0</v>
      </c>
      <c r="E324" s="102">
        <v>1647</v>
      </c>
      <c r="F324" s="90">
        <v>11619</v>
      </c>
      <c r="G324" s="103">
        <v>10996</v>
      </c>
      <c r="H324" s="90">
        <v>10372</v>
      </c>
      <c r="I324" s="100">
        <v>9064</v>
      </c>
      <c r="J324" s="203">
        <v>9891</v>
      </c>
      <c r="K324" s="204">
        <v>9803</v>
      </c>
      <c r="L324" s="204">
        <v>8326</v>
      </c>
      <c r="M324" s="204">
        <v>9781</v>
      </c>
      <c r="N324" s="204">
        <v>9001</v>
      </c>
      <c r="O324" s="204">
        <v>8643</v>
      </c>
      <c r="P324" s="202">
        <f>SUM(D324:O324)</f>
        <v>99143</v>
      </c>
      <c r="Q324" s="115"/>
    </row>
    <row r="325" spans="1:17" hidden="1" x14ac:dyDescent="0.25">
      <c r="B325" s="104"/>
      <c r="C325" s="97"/>
      <c r="D325" s="201"/>
      <c r="E325" s="201"/>
      <c r="F325" s="201"/>
      <c r="G325" s="201"/>
      <c r="H325" s="201"/>
      <c r="I325" s="201"/>
      <c r="J325" s="98"/>
      <c r="K325" s="98"/>
      <c r="L325" s="98"/>
      <c r="M325" s="98"/>
      <c r="N325" s="98"/>
      <c r="O325" s="98"/>
      <c r="P325" s="99"/>
    </row>
    <row r="326" spans="1:17" ht="12.75" hidden="1" customHeight="1" x14ac:dyDescent="0.25">
      <c r="B326" s="84" t="s">
        <v>130</v>
      </c>
      <c r="C326" s="85"/>
      <c r="D326" s="86">
        <f t="shared" ref="D326:P326" si="81">SUM(D327:D328)</f>
        <v>939</v>
      </c>
      <c r="E326" s="86">
        <f t="shared" si="81"/>
        <v>843</v>
      </c>
      <c r="F326" s="86">
        <f t="shared" si="81"/>
        <v>992</v>
      </c>
      <c r="G326" s="86">
        <f t="shared" si="81"/>
        <v>913</v>
      </c>
      <c r="H326" s="86">
        <f t="shared" si="81"/>
        <v>836</v>
      </c>
      <c r="I326" s="86">
        <f t="shared" si="81"/>
        <v>622</v>
      </c>
      <c r="J326" s="86">
        <f t="shared" si="81"/>
        <v>501</v>
      </c>
      <c r="K326" s="86">
        <f t="shared" si="81"/>
        <v>405</v>
      </c>
      <c r="L326" s="86">
        <f t="shared" si="81"/>
        <v>328</v>
      </c>
      <c r="M326" s="86">
        <f t="shared" si="81"/>
        <v>309</v>
      </c>
      <c r="N326" s="86">
        <f t="shared" si="81"/>
        <v>882</v>
      </c>
      <c r="O326" s="86">
        <f t="shared" si="81"/>
        <v>2139</v>
      </c>
      <c r="P326" s="87">
        <f t="shared" si="81"/>
        <v>9709</v>
      </c>
    </row>
    <row r="327" spans="1:17" ht="12.75" hidden="1" customHeight="1" x14ac:dyDescent="0.25">
      <c r="A327"/>
      <c r="B327" s="88"/>
      <c r="C327" s="89" t="s">
        <v>131</v>
      </c>
      <c r="D327" s="102">
        <v>939</v>
      </c>
      <c r="E327" s="102">
        <v>843</v>
      </c>
      <c r="F327" s="90">
        <v>992</v>
      </c>
      <c r="G327" s="103">
        <v>913</v>
      </c>
      <c r="H327" s="90">
        <v>836</v>
      </c>
      <c r="I327" s="100">
        <v>622</v>
      </c>
      <c r="J327" s="100">
        <v>501</v>
      </c>
      <c r="K327" s="90">
        <v>405</v>
      </c>
      <c r="L327" s="90">
        <v>328</v>
      </c>
      <c r="M327" s="90">
        <v>309</v>
      </c>
      <c r="N327" s="90">
        <v>333</v>
      </c>
      <c r="O327" s="90">
        <v>230</v>
      </c>
      <c r="P327" s="202">
        <f>SUM(D327:O327)</f>
        <v>7251</v>
      </c>
      <c r="Q327"/>
    </row>
    <row r="328" spans="1:17" ht="12.75" hidden="1" customHeight="1" x14ac:dyDescent="0.25">
      <c r="A328"/>
      <c r="B328" s="92"/>
      <c r="C328" s="89" t="s">
        <v>132</v>
      </c>
      <c r="D328" s="102">
        <v>0</v>
      </c>
      <c r="E328" s="102">
        <v>0</v>
      </c>
      <c r="F328" s="102">
        <v>0</v>
      </c>
      <c r="G328" s="102">
        <v>0</v>
      </c>
      <c r="H328" s="102">
        <v>0</v>
      </c>
      <c r="I328" s="102">
        <v>0</v>
      </c>
      <c r="J328" s="102">
        <v>0</v>
      </c>
      <c r="K328" s="102">
        <v>0</v>
      </c>
      <c r="L328" s="102">
        <v>0</v>
      </c>
      <c r="M328" s="102">
        <v>0</v>
      </c>
      <c r="N328" s="204">
        <v>549</v>
      </c>
      <c r="O328" s="204">
        <v>1909</v>
      </c>
      <c r="P328" s="202">
        <f>SUM(D328:O328)</f>
        <v>2458</v>
      </c>
      <c r="Q328"/>
    </row>
    <row r="329" spans="1:17" ht="12.75" hidden="1" customHeight="1" x14ac:dyDescent="0.25">
      <c r="A329" s="16"/>
      <c r="B329" s="16"/>
      <c r="C329" s="16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6"/>
      <c r="Q329"/>
    </row>
    <row r="330" spans="1:17" ht="12.75" hidden="1" customHeight="1" thickBot="1" x14ac:dyDescent="0.3">
      <c r="A330"/>
      <c r="B330" s="18" t="s">
        <v>84</v>
      </c>
      <c r="C330" s="18"/>
      <c r="Q330"/>
    </row>
    <row r="331" spans="1:17" ht="12.75" hidden="1" customHeight="1" thickBot="1" x14ac:dyDescent="0.3">
      <c r="A331"/>
      <c r="B331" s="408" t="s">
        <v>1</v>
      </c>
      <c r="C331" s="409"/>
      <c r="D331" s="21">
        <v>1</v>
      </c>
      <c r="E331" s="22">
        <v>2</v>
      </c>
      <c r="F331" s="22">
        <v>3</v>
      </c>
      <c r="G331" s="22">
        <v>4</v>
      </c>
      <c r="H331" s="22">
        <v>5</v>
      </c>
      <c r="I331" s="22">
        <v>6</v>
      </c>
      <c r="J331" s="22">
        <v>7</v>
      </c>
      <c r="K331" s="22">
        <v>8</v>
      </c>
      <c r="L331" s="22">
        <v>9</v>
      </c>
      <c r="M331" s="22">
        <v>10</v>
      </c>
      <c r="N331" s="22">
        <v>11</v>
      </c>
      <c r="O331" s="22">
        <v>12</v>
      </c>
      <c r="P331" s="23" t="s">
        <v>0</v>
      </c>
      <c r="Q331"/>
    </row>
    <row r="332" spans="1:17" ht="12.75" hidden="1" customHeight="1" x14ac:dyDescent="0.25">
      <c r="A332"/>
      <c r="B332" s="398" t="s">
        <v>46</v>
      </c>
      <c r="C332" s="177" t="s">
        <v>21</v>
      </c>
      <c r="D332" s="39">
        <v>388</v>
      </c>
      <c r="E332" s="40">
        <v>255</v>
      </c>
      <c r="F332" s="39">
        <v>688</v>
      </c>
      <c r="G332" s="40">
        <v>548</v>
      </c>
      <c r="H332" s="40">
        <v>470</v>
      </c>
      <c r="I332" s="40">
        <v>657</v>
      </c>
      <c r="J332" s="40">
        <v>963</v>
      </c>
      <c r="K332" s="40">
        <v>740</v>
      </c>
      <c r="L332" s="40">
        <v>579</v>
      </c>
      <c r="M332" s="40">
        <v>544</v>
      </c>
      <c r="N332" s="40">
        <v>685</v>
      </c>
      <c r="O332" s="40">
        <v>979</v>
      </c>
      <c r="P332" s="41">
        <f t="shared" ref="P332:P340" si="82">SUM(D332:O332)</f>
        <v>7496</v>
      </c>
      <c r="Q332"/>
    </row>
    <row r="333" spans="1:17" ht="12.75" hidden="1" customHeight="1" x14ac:dyDescent="0.25">
      <c r="A333"/>
      <c r="B333" s="399"/>
      <c r="C333" s="178" t="s">
        <v>22</v>
      </c>
      <c r="D333" s="78">
        <v>5</v>
      </c>
      <c r="E333" s="79">
        <v>2</v>
      </c>
      <c r="F333" s="78">
        <v>20</v>
      </c>
      <c r="G333" s="79">
        <v>15</v>
      </c>
      <c r="H333" s="79">
        <v>19</v>
      </c>
      <c r="I333" s="79">
        <v>14</v>
      </c>
      <c r="J333" s="79">
        <v>12</v>
      </c>
      <c r="K333" s="79">
        <v>12</v>
      </c>
      <c r="L333" s="81">
        <v>15</v>
      </c>
      <c r="M333" s="79">
        <v>21</v>
      </c>
      <c r="N333" s="79">
        <v>41</v>
      </c>
      <c r="O333" s="79">
        <v>30</v>
      </c>
      <c r="P333" s="80">
        <f t="shared" si="82"/>
        <v>206</v>
      </c>
      <c r="Q333"/>
    </row>
    <row r="334" spans="1:17" ht="12.75" hidden="1" customHeight="1" x14ac:dyDescent="0.25">
      <c r="A334"/>
      <c r="B334" s="399"/>
      <c r="C334" s="178" t="s">
        <v>24</v>
      </c>
      <c r="D334" s="78">
        <v>5064</v>
      </c>
      <c r="E334" s="78">
        <v>7353</v>
      </c>
      <c r="F334" s="78">
        <v>7000</v>
      </c>
      <c r="G334" s="78">
        <v>8265</v>
      </c>
      <c r="H334" s="78">
        <v>7834</v>
      </c>
      <c r="I334" s="78">
        <v>6488</v>
      </c>
      <c r="J334" s="78">
        <v>7109</v>
      </c>
      <c r="K334" s="78">
        <v>7449</v>
      </c>
      <c r="L334" s="78">
        <v>7078</v>
      </c>
      <c r="M334" s="78">
        <v>6190</v>
      </c>
      <c r="N334" s="78">
        <v>7183</v>
      </c>
      <c r="O334" s="78">
        <v>6848</v>
      </c>
      <c r="P334" s="31">
        <f t="shared" si="82"/>
        <v>83861</v>
      </c>
      <c r="Q334"/>
    </row>
    <row r="335" spans="1:17" ht="12.75" hidden="1" customHeight="1" x14ac:dyDescent="0.25">
      <c r="A335"/>
      <c r="B335" s="399"/>
      <c r="C335" s="178" t="s">
        <v>69</v>
      </c>
      <c r="D335" s="78">
        <v>525</v>
      </c>
      <c r="E335" s="78">
        <v>545</v>
      </c>
      <c r="F335" s="78">
        <v>1116</v>
      </c>
      <c r="G335" s="78">
        <v>1055</v>
      </c>
      <c r="H335" s="78">
        <v>1009</v>
      </c>
      <c r="I335" s="78">
        <v>955</v>
      </c>
      <c r="J335" s="78">
        <v>1216</v>
      </c>
      <c r="K335" s="78">
        <v>1192</v>
      </c>
      <c r="L335" s="78">
        <v>1250</v>
      </c>
      <c r="M335" s="78">
        <v>989</v>
      </c>
      <c r="N335" s="78">
        <v>1385</v>
      </c>
      <c r="O335" s="78">
        <v>1162</v>
      </c>
      <c r="P335" s="27">
        <f t="shared" si="82"/>
        <v>12399</v>
      </c>
      <c r="Q335"/>
    </row>
    <row r="336" spans="1:17" ht="12.75" hidden="1" customHeight="1" x14ac:dyDescent="0.25">
      <c r="A336"/>
      <c r="B336" s="399"/>
      <c r="C336" s="179" t="s">
        <v>3</v>
      </c>
      <c r="D336" s="29">
        <v>84</v>
      </c>
      <c r="E336" s="30">
        <v>410</v>
      </c>
      <c r="F336" s="29">
        <v>620</v>
      </c>
      <c r="G336" s="30">
        <v>366</v>
      </c>
      <c r="H336" s="30">
        <v>361</v>
      </c>
      <c r="I336" s="30">
        <v>381</v>
      </c>
      <c r="J336" s="30">
        <v>520</v>
      </c>
      <c r="K336" s="30">
        <v>435</v>
      </c>
      <c r="L336" s="32">
        <v>429</v>
      </c>
      <c r="M336" s="30">
        <v>311</v>
      </c>
      <c r="N336" s="30">
        <v>430</v>
      </c>
      <c r="O336" s="30">
        <v>283</v>
      </c>
      <c r="P336" s="80">
        <f t="shared" si="82"/>
        <v>4630</v>
      </c>
      <c r="Q336"/>
    </row>
    <row r="337" spans="1:17" ht="12.75" hidden="1" customHeight="1" x14ac:dyDescent="0.25">
      <c r="A337"/>
      <c r="B337" s="399"/>
      <c r="C337" s="180" t="s">
        <v>25</v>
      </c>
      <c r="D337" s="76">
        <v>3997</v>
      </c>
      <c r="E337" s="76">
        <v>4440</v>
      </c>
      <c r="F337" s="76">
        <f>7240+338</f>
        <v>7578</v>
      </c>
      <c r="G337" s="76">
        <v>9127</v>
      </c>
      <c r="H337" s="76">
        <v>7597</v>
      </c>
      <c r="I337" s="76">
        <v>9298</v>
      </c>
      <c r="J337" s="76">
        <v>6685</v>
      </c>
      <c r="K337" s="76">
        <v>6424</v>
      </c>
      <c r="L337" s="76">
        <v>6424</v>
      </c>
      <c r="M337" s="76">
        <v>7355</v>
      </c>
      <c r="N337" s="76">
        <v>7459</v>
      </c>
      <c r="O337" s="76">
        <v>6319</v>
      </c>
      <c r="P337" s="80">
        <f t="shared" si="82"/>
        <v>82703</v>
      </c>
      <c r="Q337"/>
    </row>
    <row r="338" spans="1:17" ht="12.75" hidden="1" customHeight="1" x14ac:dyDescent="0.25">
      <c r="A338"/>
      <c r="B338" s="399"/>
      <c r="C338" s="180" t="s">
        <v>44</v>
      </c>
      <c r="D338" s="76">
        <v>8</v>
      </c>
      <c r="E338" s="76">
        <v>7</v>
      </c>
      <c r="F338" s="76">
        <v>12</v>
      </c>
      <c r="G338" s="76">
        <v>8</v>
      </c>
      <c r="H338" s="76">
        <v>53</v>
      </c>
      <c r="I338" s="76">
        <v>59</v>
      </c>
      <c r="J338" s="76">
        <v>35</v>
      </c>
      <c r="K338" s="76">
        <v>25</v>
      </c>
      <c r="L338" s="76">
        <v>26</v>
      </c>
      <c r="M338" s="76">
        <v>44</v>
      </c>
      <c r="N338" s="76">
        <v>21</v>
      </c>
      <c r="O338" s="76">
        <v>29</v>
      </c>
      <c r="P338" s="80">
        <f t="shared" si="82"/>
        <v>327</v>
      </c>
      <c r="Q338"/>
    </row>
    <row r="339" spans="1:17" ht="12.75" hidden="1" customHeight="1" x14ac:dyDescent="0.25">
      <c r="A339"/>
      <c r="B339" s="399"/>
      <c r="C339" s="181" t="s">
        <v>27</v>
      </c>
      <c r="D339" s="74">
        <v>10586</v>
      </c>
      <c r="E339" s="74">
        <v>10913</v>
      </c>
      <c r="F339" s="74">
        <f>8+44+13112+194</f>
        <v>13358</v>
      </c>
      <c r="G339" s="74">
        <v>12549</v>
      </c>
      <c r="H339" s="74">
        <v>12595</v>
      </c>
      <c r="I339" s="74">
        <v>12665</v>
      </c>
      <c r="J339" s="74">
        <v>12093</v>
      </c>
      <c r="K339" s="74">
        <v>8204</v>
      </c>
      <c r="L339" s="74">
        <v>11283</v>
      </c>
      <c r="M339" s="74">
        <v>8573</v>
      </c>
      <c r="N339" s="74">
        <v>10181</v>
      </c>
      <c r="O339" s="74">
        <v>9080</v>
      </c>
      <c r="P339" s="80">
        <f t="shared" si="82"/>
        <v>132080</v>
      </c>
      <c r="Q339"/>
    </row>
    <row r="340" spans="1:17" ht="12.75" hidden="1" customHeight="1" x14ac:dyDescent="0.25">
      <c r="A340"/>
      <c r="B340" s="399"/>
      <c r="C340" s="182" t="s">
        <v>56</v>
      </c>
      <c r="D340" s="129">
        <v>57</v>
      </c>
      <c r="E340" s="130">
        <v>25</v>
      </c>
      <c r="F340" s="130">
        <v>94</v>
      </c>
      <c r="G340" s="130">
        <v>48</v>
      </c>
      <c r="H340" s="130">
        <v>39</v>
      </c>
      <c r="I340" s="130">
        <v>39</v>
      </c>
      <c r="J340" s="130">
        <v>27</v>
      </c>
      <c r="K340" s="130">
        <v>22</v>
      </c>
      <c r="L340" s="130">
        <v>24</v>
      </c>
      <c r="M340" s="129">
        <v>24</v>
      </c>
      <c r="N340" s="129">
        <v>39</v>
      </c>
      <c r="O340" s="129">
        <v>52</v>
      </c>
      <c r="P340" s="80">
        <f t="shared" si="82"/>
        <v>490</v>
      </c>
      <c r="Q340"/>
    </row>
    <row r="341" spans="1:17" ht="12.75" hidden="1" customHeight="1" thickBot="1" x14ac:dyDescent="0.3">
      <c r="A341"/>
      <c r="B341" s="394"/>
      <c r="C341" s="183" t="s">
        <v>0</v>
      </c>
      <c r="D341" s="43">
        <f t="shared" ref="D341:P341" si="83">SUM(D332:D340)</f>
        <v>20714</v>
      </c>
      <c r="E341" s="43">
        <f t="shared" si="83"/>
        <v>23950</v>
      </c>
      <c r="F341" s="43">
        <f t="shared" si="83"/>
        <v>30486</v>
      </c>
      <c r="G341" s="43">
        <f t="shared" si="83"/>
        <v>31981</v>
      </c>
      <c r="H341" s="43">
        <f t="shared" si="83"/>
        <v>29977</v>
      </c>
      <c r="I341" s="43">
        <f t="shared" si="83"/>
        <v>30556</v>
      </c>
      <c r="J341" s="43">
        <f t="shared" si="83"/>
        <v>28660</v>
      </c>
      <c r="K341" s="43">
        <f t="shared" si="83"/>
        <v>24503</v>
      </c>
      <c r="L341" s="43">
        <f t="shared" si="83"/>
        <v>27108</v>
      </c>
      <c r="M341" s="43">
        <f t="shared" si="83"/>
        <v>24051</v>
      </c>
      <c r="N341" s="43">
        <f t="shared" si="83"/>
        <v>27424</v>
      </c>
      <c r="O341" s="43">
        <f t="shared" si="83"/>
        <v>24782</v>
      </c>
      <c r="P341" s="44">
        <f t="shared" si="83"/>
        <v>324192</v>
      </c>
      <c r="Q341"/>
    </row>
    <row r="342" spans="1:17" ht="12.75" hidden="1" customHeight="1" x14ac:dyDescent="0.25">
      <c r="A342"/>
      <c r="B342" s="396" t="s">
        <v>45</v>
      </c>
      <c r="C342" s="177" t="s">
        <v>115</v>
      </c>
      <c r="D342" s="39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3145</v>
      </c>
      <c r="K342" s="40">
        <v>4230</v>
      </c>
      <c r="L342" s="40">
        <v>5386</v>
      </c>
      <c r="M342" s="40">
        <v>3819</v>
      </c>
      <c r="N342" s="40">
        <v>4324</v>
      </c>
      <c r="O342" s="40">
        <v>2618</v>
      </c>
      <c r="P342" s="41">
        <f>SUM(D342:O342)</f>
        <v>23522</v>
      </c>
      <c r="Q342"/>
    </row>
    <row r="343" spans="1:17" ht="12.75" hidden="1" customHeight="1" x14ac:dyDescent="0.25">
      <c r="A343"/>
      <c r="B343" s="396"/>
      <c r="C343" s="184" t="s">
        <v>60</v>
      </c>
      <c r="D343" s="25">
        <v>2791</v>
      </c>
      <c r="E343" s="26">
        <v>3156</v>
      </c>
      <c r="F343" s="26">
        <v>3640</v>
      </c>
      <c r="G343" s="26">
        <v>3401</v>
      </c>
      <c r="H343" s="26">
        <v>4422</v>
      </c>
      <c r="I343" s="26">
        <v>4290</v>
      </c>
      <c r="J343" s="26">
        <v>4120</v>
      </c>
      <c r="K343" s="26">
        <v>4136</v>
      </c>
      <c r="L343" s="26">
        <v>4519</v>
      </c>
      <c r="M343" s="26">
        <v>3444</v>
      </c>
      <c r="N343" s="26">
        <v>4609</v>
      </c>
      <c r="O343" s="26">
        <v>3888</v>
      </c>
      <c r="P343" s="27">
        <f>SUM(D343:O343)</f>
        <v>46416</v>
      </c>
      <c r="Q343"/>
    </row>
    <row r="344" spans="1:17" ht="12.75" hidden="1" customHeight="1" x14ac:dyDescent="0.25">
      <c r="A344"/>
      <c r="B344" s="396"/>
      <c r="C344" s="179" t="s">
        <v>8</v>
      </c>
      <c r="D344" s="29">
        <v>3185</v>
      </c>
      <c r="E344" s="30">
        <v>5997</v>
      </c>
      <c r="F344" s="30">
        <v>5459</v>
      </c>
      <c r="G344" s="30">
        <v>3888</v>
      </c>
      <c r="H344" s="30">
        <v>4431</v>
      </c>
      <c r="I344" s="30">
        <v>4443</v>
      </c>
      <c r="J344" s="30">
        <v>3675</v>
      </c>
      <c r="K344" s="30">
        <v>4439</v>
      </c>
      <c r="L344" s="30">
        <v>3619</v>
      </c>
      <c r="M344" s="30">
        <v>3861</v>
      </c>
      <c r="N344" s="30">
        <v>4522</v>
      </c>
      <c r="O344" s="30">
        <v>4142</v>
      </c>
      <c r="P344" s="80">
        <f>SUM(D344:O344)</f>
        <v>51661</v>
      </c>
      <c r="Q344"/>
    </row>
    <row r="345" spans="1:17" ht="12.75" hidden="1" customHeight="1" x14ac:dyDescent="0.25">
      <c r="A345"/>
      <c r="B345" s="396"/>
      <c r="C345" s="179" t="s">
        <v>51</v>
      </c>
      <c r="D345" s="29">
        <v>678</v>
      </c>
      <c r="E345" s="30">
        <v>760</v>
      </c>
      <c r="F345" s="30">
        <v>828</v>
      </c>
      <c r="G345" s="30">
        <v>639</v>
      </c>
      <c r="H345" s="30">
        <v>570</v>
      </c>
      <c r="I345" s="30">
        <v>709</v>
      </c>
      <c r="J345" s="30">
        <v>542</v>
      </c>
      <c r="K345" s="30">
        <v>530</v>
      </c>
      <c r="L345" s="30">
        <v>585</v>
      </c>
      <c r="M345" s="30">
        <v>468</v>
      </c>
      <c r="N345" s="30">
        <v>320</v>
      </c>
      <c r="O345" s="30">
        <v>383</v>
      </c>
      <c r="P345" s="31">
        <f>SUM(D345:O345)</f>
        <v>7012</v>
      </c>
      <c r="Q345"/>
    </row>
    <row r="346" spans="1:17" ht="12.75" hidden="1" customHeight="1" thickBot="1" x14ac:dyDescent="0.3">
      <c r="A346"/>
      <c r="B346" s="400"/>
      <c r="C346" s="185" t="s">
        <v>0</v>
      </c>
      <c r="D346" s="36">
        <f t="shared" ref="D346:P346" si="84">SUM(D342:D345)</f>
        <v>6654</v>
      </c>
      <c r="E346" s="36">
        <f t="shared" si="84"/>
        <v>9913</v>
      </c>
      <c r="F346" s="36">
        <f t="shared" si="84"/>
        <v>9927</v>
      </c>
      <c r="G346" s="36">
        <f t="shared" si="84"/>
        <v>7928</v>
      </c>
      <c r="H346" s="36">
        <f t="shared" si="84"/>
        <v>9423</v>
      </c>
      <c r="I346" s="36">
        <f t="shared" si="84"/>
        <v>9442</v>
      </c>
      <c r="J346" s="36">
        <f t="shared" si="84"/>
        <v>11482</v>
      </c>
      <c r="K346" s="36">
        <f t="shared" si="84"/>
        <v>13335</v>
      </c>
      <c r="L346" s="36">
        <f t="shared" si="84"/>
        <v>14109</v>
      </c>
      <c r="M346" s="36">
        <f t="shared" si="84"/>
        <v>11592</v>
      </c>
      <c r="N346" s="36">
        <f t="shared" si="84"/>
        <v>13775</v>
      </c>
      <c r="O346" s="36">
        <f t="shared" si="84"/>
        <v>11031</v>
      </c>
      <c r="P346" s="37">
        <f t="shared" si="84"/>
        <v>128611</v>
      </c>
      <c r="Q346"/>
    </row>
    <row r="347" spans="1:17" ht="12.75" hidden="1" customHeight="1" x14ac:dyDescent="0.25">
      <c r="A347"/>
      <c r="B347" s="392" t="s">
        <v>9</v>
      </c>
      <c r="C347" s="177" t="s">
        <v>11</v>
      </c>
      <c r="D347" s="39">
        <v>3396</v>
      </c>
      <c r="E347" s="40">
        <v>3841</v>
      </c>
      <c r="F347" s="40">
        <v>4823</v>
      </c>
      <c r="G347" s="40">
        <v>4323</v>
      </c>
      <c r="H347" s="40">
        <v>3824</v>
      </c>
      <c r="I347" s="40">
        <v>4230</v>
      </c>
      <c r="J347" s="40">
        <v>3674</v>
      </c>
      <c r="K347" s="40">
        <v>3376</v>
      </c>
      <c r="L347" s="40">
        <v>3945</v>
      </c>
      <c r="M347" s="40">
        <v>3119</v>
      </c>
      <c r="N347" s="40">
        <v>4296</v>
      </c>
      <c r="O347" s="40">
        <v>2929</v>
      </c>
      <c r="P347" s="41">
        <f>SUM(D347:O347)</f>
        <v>45776</v>
      </c>
      <c r="Q347"/>
    </row>
    <row r="348" spans="1:17" ht="12.75" hidden="1" customHeight="1" x14ac:dyDescent="0.25">
      <c r="A348"/>
      <c r="B348" s="393"/>
      <c r="C348" s="184" t="s">
        <v>12</v>
      </c>
      <c r="D348" s="25">
        <v>7860</v>
      </c>
      <c r="E348" s="26">
        <v>7691</v>
      </c>
      <c r="F348" s="26">
        <v>9790</v>
      </c>
      <c r="G348" s="26">
        <v>8809</v>
      </c>
      <c r="H348" s="26">
        <v>10012</v>
      </c>
      <c r="I348" s="26">
        <v>10064</v>
      </c>
      <c r="J348" s="26">
        <v>8690</v>
      </c>
      <c r="K348" s="26">
        <v>6550</v>
      </c>
      <c r="L348" s="26">
        <v>7458</v>
      </c>
      <c r="M348" s="26">
        <v>7746</v>
      </c>
      <c r="N348" s="26">
        <v>9601</v>
      </c>
      <c r="O348" s="26">
        <v>7152</v>
      </c>
      <c r="P348" s="27">
        <f>SUM(D348:O348)</f>
        <v>101423</v>
      </c>
      <c r="Q348"/>
    </row>
    <row r="349" spans="1:17" ht="12.75" hidden="1" customHeight="1" thickBot="1" x14ac:dyDescent="0.3">
      <c r="A349"/>
      <c r="B349" s="394"/>
      <c r="C349" s="183" t="s">
        <v>0</v>
      </c>
      <c r="D349" s="43">
        <f t="shared" ref="D349:L349" si="85">SUM(D347:D348)</f>
        <v>11256</v>
      </c>
      <c r="E349" s="43">
        <f t="shared" si="85"/>
        <v>11532</v>
      </c>
      <c r="F349" s="43">
        <f t="shared" si="85"/>
        <v>14613</v>
      </c>
      <c r="G349" s="43">
        <f t="shared" si="85"/>
        <v>13132</v>
      </c>
      <c r="H349" s="43">
        <f t="shared" si="85"/>
        <v>13836</v>
      </c>
      <c r="I349" s="43">
        <f t="shared" si="85"/>
        <v>14294</v>
      </c>
      <c r="J349" s="43">
        <f t="shared" si="85"/>
        <v>12364</v>
      </c>
      <c r="K349" s="43">
        <f t="shared" si="85"/>
        <v>9926</v>
      </c>
      <c r="L349" s="43">
        <f t="shared" si="85"/>
        <v>11403</v>
      </c>
      <c r="M349" s="43">
        <f>SUM(M347:M348)</f>
        <v>10865</v>
      </c>
      <c r="N349" s="43">
        <f>SUM(N347:N348)</f>
        <v>13897</v>
      </c>
      <c r="O349" s="43">
        <f>SUM(O347:O348)</f>
        <v>10081</v>
      </c>
      <c r="P349" s="44">
        <f>SUM(P347:P348)</f>
        <v>147199</v>
      </c>
      <c r="Q349"/>
    </row>
    <row r="350" spans="1:17" ht="12.75" hidden="1" customHeight="1" x14ac:dyDescent="0.25">
      <c r="A350"/>
      <c r="B350" s="392" t="s">
        <v>10</v>
      </c>
      <c r="C350" s="177" t="s">
        <v>13</v>
      </c>
      <c r="D350" s="39">
        <v>592</v>
      </c>
      <c r="E350" s="40">
        <v>898</v>
      </c>
      <c r="F350" s="40">
        <v>884</v>
      </c>
      <c r="G350" s="40">
        <v>821</v>
      </c>
      <c r="H350" s="40">
        <v>734</v>
      </c>
      <c r="I350" s="40">
        <v>777</v>
      </c>
      <c r="J350" s="40">
        <v>759</v>
      </c>
      <c r="K350" s="40">
        <v>614</v>
      </c>
      <c r="L350" s="40">
        <v>744</v>
      </c>
      <c r="M350" s="40">
        <v>645</v>
      </c>
      <c r="N350" s="40">
        <v>747</v>
      </c>
      <c r="O350" s="40">
        <v>591</v>
      </c>
      <c r="P350" s="41">
        <f>SUM(D350:O350)</f>
        <v>8806</v>
      </c>
      <c r="Q350"/>
    </row>
    <row r="351" spans="1:17" ht="12.75" hidden="1" customHeight="1" x14ac:dyDescent="0.25">
      <c r="A351"/>
      <c r="B351" s="393"/>
      <c r="C351" s="184" t="s">
        <v>14</v>
      </c>
      <c r="D351" s="25">
        <v>1689</v>
      </c>
      <c r="E351" s="26">
        <v>2032</v>
      </c>
      <c r="F351" s="26">
        <v>2413</v>
      </c>
      <c r="G351" s="26">
        <v>2259</v>
      </c>
      <c r="H351" s="26">
        <v>2217</v>
      </c>
      <c r="I351" s="26">
        <v>2140</v>
      </c>
      <c r="J351" s="26">
        <v>2095</v>
      </c>
      <c r="K351" s="26">
        <v>1897</v>
      </c>
      <c r="L351" s="26">
        <v>2056</v>
      </c>
      <c r="M351" s="26">
        <v>1596</v>
      </c>
      <c r="N351" s="26">
        <v>1765</v>
      </c>
      <c r="O351" s="26">
        <v>1356</v>
      </c>
      <c r="P351" s="27">
        <f>SUM(D351:O351)</f>
        <v>23515</v>
      </c>
      <c r="Q351"/>
    </row>
    <row r="352" spans="1:17" ht="12.75" hidden="1" customHeight="1" thickBot="1" x14ac:dyDescent="0.3">
      <c r="A352"/>
      <c r="B352" s="394"/>
      <c r="C352" s="183" t="s">
        <v>0</v>
      </c>
      <c r="D352" s="43">
        <f t="shared" ref="D352:I352" si="86">SUM(D350:D351)</f>
        <v>2281</v>
      </c>
      <c r="E352" s="43">
        <f t="shared" si="86"/>
        <v>2930</v>
      </c>
      <c r="F352" s="43">
        <f t="shared" si="86"/>
        <v>3297</v>
      </c>
      <c r="G352" s="43">
        <f t="shared" si="86"/>
        <v>3080</v>
      </c>
      <c r="H352" s="43">
        <f t="shared" si="86"/>
        <v>2951</v>
      </c>
      <c r="I352" s="43">
        <f t="shared" si="86"/>
        <v>2917</v>
      </c>
      <c r="J352" s="43">
        <f t="shared" ref="J352:P352" si="87">SUM(J350:J351)</f>
        <v>2854</v>
      </c>
      <c r="K352" s="43">
        <f t="shared" si="87"/>
        <v>2511</v>
      </c>
      <c r="L352" s="43">
        <f t="shared" si="87"/>
        <v>2800</v>
      </c>
      <c r="M352" s="43">
        <f t="shared" si="87"/>
        <v>2241</v>
      </c>
      <c r="N352" s="43">
        <f t="shared" si="87"/>
        <v>2512</v>
      </c>
      <c r="O352" s="43">
        <f t="shared" si="87"/>
        <v>1947</v>
      </c>
      <c r="P352" s="44">
        <f t="shared" si="87"/>
        <v>32321</v>
      </c>
      <c r="Q352"/>
    </row>
    <row r="353" spans="1:17" ht="4.5" hidden="1" customHeight="1" x14ac:dyDescent="0.25">
      <c r="A353"/>
      <c r="B353" s="401" t="s">
        <v>4</v>
      </c>
      <c r="C353" s="186" t="s">
        <v>117</v>
      </c>
      <c r="D353" s="158">
        <v>0</v>
      </c>
      <c r="E353" s="158">
        <v>0</v>
      </c>
      <c r="F353" s="158">
        <v>0</v>
      </c>
      <c r="G353" s="158">
        <v>0</v>
      </c>
      <c r="H353" s="158">
        <v>0</v>
      </c>
      <c r="I353" s="158">
        <v>0</v>
      </c>
      <c r="J353" s="158">
        <v>0</v>
      </c>
      <c r="K353" s="158">
        <v>0</v>
      </c>
      <c r="L353" s="158">
        <v>386</v>
      </c>
      <c r="M353" s="158">
        <v>958</v>
      </c>
      <c r="N353" s="158">
        <v>1591</v>
      </c>
      <c r="O353" s="158">
        <v>1619</v>
      </c>
      <c r="P353" s="159">
        <f>SUM(D353:O353)</f>
        <v>4554</v>
      </c>
      <c r="Q353"/>
    </row>
    <row r="354" spans="1:17" hidden="1" x14ac:dyDescent="0.25">
      <c r="A354"/>
      <c r="B354" s="402"/>
      <c r="C354" s="187" t="s">
        <v>118</v>
      </c>
      <c r="D354" s="134">
        <v>3569</v>
      </c>
      <c r="E354" s="134">
        <v>3578</v>
      </c>
      <c r="F354" s="134">
        <v>4048</v>
      </c>
      <c r="G354" s="134">
        <v>3307</v>
      </c>
      <c r="H354" s="134">
        <v>3051</v>
      </c>
      <c r="I354" s="134">
        <v>3425</v>
      </c>
      <c r="J354" s="134">
        <v>3248</v>
      </c>
      <c r="K354" s="134">
        <v>3298</v>
      </c>
      <c r="L354" s="134">
        <v>2857</v>
      </c>
      <c r="M354" s="134">
        <v>2531</v>
      </c>
      <c r="N354" s="134">
        <v>3758</v>
      </c>
      <c r="O354" s="134">
        <v>3092</v>
      </c>
      <c r="P354" s="135">
        <f>SUM(D354:O354)</f>
        <v>39762</v>
      </c>
    </row>
    <row r="355" spans="1:17" ht="9.75" hidden="1" customHeight="1" x14ac:dyDescent="0.25">
      <c r="A355"/>
      <c r="B355" s="402"/>
      <c r="C355" s="179" t="s">
        <v>65</v>
      </c>
      <c r="D355" s="29">
        <v>626</v>
      </c>
      <c r="E355" s="30">
        <v>1210</v>
      </c>
      <c r="F355" s="30">
        <v>1394</v>
      </c>
      <c r="G355" s="30">
        <v>933</v>
      </c>
      <c r="H355" s="30">
        <v>1369</v>
      </c>
      <c r="I355" s="30">
        <v>1203</v>
      </c>
      <c r="J355" s="30">
        <v>1006</v>
      </c>
      <c r="K355" s="30">
        <v>987</v>
      </c>
      <c r="L355" s="30">
        <v>1051</v>
      </c>
      <c r="M355" s="30">
        <v>774</v>
      </c>
      <c r="N355" s="30">
        <v>938</v>
      </c>
      <c r="O355" s="30">
        <v>809</v>
      </c>
      <c r="P355" s="31">
        <f>SUM(D355:O355)</f>
        <v>12300</v>
      </c>
    </row>
    <row r="356" spans="1:17" ht="9.75" hidden="1" customHeight="1" thickBot="1" x14ac:dyDescent="0.3">
      <c r="A356"/>
      <c r="B356" s="403"/>
      <c r="C356" s="42" t="s">
        <v>0</v>
      </c>
      <c r="D356" s="43">
        <f>SUM(D353:D355)</f>
        <v>4195</v>
      </c>
      <c r="E356" s="43">
        <f t="shared" ref="E356:P356" si="88">SUM(E353:E355)</f>
        <v>4788</v>
      </c>
      <c r="F356" s="43">
        <f t="shared" si="88"/>
        <v>5442</v>
      </c>
      <c r="G356" s="43">
        <f t="shared" si="88"/>
        <v>4240</v>
      </c>
      <c r="H356" s="43">
        <f t="shared" si="88"/>
        <v>4420</v>
      </c>
      <c r="I356" s="43">
        <f t="shared" si="88"/>
        <v>4628</v>
      </c>
      <c r="J356" s="43">
        <f t="shared" si="88"/>
        <v>4254</v>
      </c>
      <c r="K356" s="43">
        <f t="shared" si="88"/>
        <v>4285</v>
      </c>
      <c r="L356" s="43">
        <f t="shared" si="88"/>
        <v>4294</v>
      </c>
      <c r="M356" s="43">
        <f t="shared" si="88"/>
        <v>4263</v>
      </c>
      <c r="N356" s="43">
        <f t="shared" si="88"/>
        <v>6287</v>
      </c>
      <c r="O356" s="43">
        <f t="shared" si="88"/>
        <v>5520</v>
      </c>
      <c r="P356" s="43">
        <f t="shared" si="88"/>
        <v>56616</v>
      </c>
    </row>
    <row r="357" spans="1:17" ht="9.9" hidden="1" customHeight="1" thickBot="1" x14ac:dyDescent="0.3">
      <c r="A357"/>
      <c r="B357" s="406" t="s">
        <v>2</v>
      </c>
      <c r="C357" s="407"/>
      <c r="D357" s="45">
        <f t="shared" ref="D357:O357" si="89">D341+D346+D352+D349+D356</f>
        <v>45100</v>
      </c>
      <c r="E357" s="45">
        <f t="shared" si="89"/>
        <v>53113</v>
      </c>
      <c r="F357" s="45">
        <f t="shared" si="89"/>
        <v>63765</v>
      </c>
      <c r="G357" s="45">
        <f t="shared" si="89"/>
        <v>60361</v>
      </c>
      <c r="H357" s="45">
        <f t="shared" si="89"/>
        <v>60607</v>
      </c>
      <c r="I357" s="45">
        <f t="shared" si="89"/>
        <v>61837</v>
      </c>
      <c r="J357" s="45">
        <f t="shared" si="89"/>
        <v>59614</v>
      </c>
      <c r="K357" s="45">
        <f t="shared" si="89"/>
        <v>54560</v>
      </c>
      <c r="L357" s="45">
        <f t="shared" si="89"/>
        <v>59714</v>
      </c>
      <c r="M357" s="45">
        <f t="shared" si="89"/>
        <v>53012</v>
      </c>
      <c r="N357" s="45">
        <f t="shared" si="89"/>
        <v>63895</v>
      </c>
      <c r="O357" s="45">
        <f t="shared" si="89"/>
        <v>53361</v>
      </c>
      <c r="P357" s="45">
        <f>SUM(P341,P346,P356,P349,P352)</f>
        <v>688939</v>
      </c>
    </row>
    <row r="358" spans="1:17" ht="9.9" hidden="1" customHeight="1" x14ac:dyDescent="0.25">
      <c r="A358"/>
      <c r="J358" s="118"/>
    </row>
    <row r="359" spans="1:17" ht="4.5" hidden="1" customHeight="1" x14ac:dyDescent="0.25">
      <c r="A359"/>
      <c r="B359" s="84" t="s">
        <v>27</v>
      </c>
      <c r="C359" s="85"/>
      <c r="D359" s="86">
        <f t="shared" ref="D359:P359" si="90">SUM(D360:D363)</f>
        <v>10586</v>
      </c>
      <c r="E359" s="86">
        <f t="shared" si="90"/>
        <v>10913</v>
      </c>
      <c r="F359" s="86">
        <f t="shared" si="90"/>
        <v>13358</v>
      </c>
      <c r="G359" s="86">
        <f t="shared" si="90"/>
        <v>12549</v>
      </c>
      <c r="H359" s="86">
        <f t="shared" si="90"/>
        <v>12595</v>
      </c>
      <c r="I359" s="86">
        <f t="shared" si="90"/>
        <v>12665</v>
      </c>
      <c r="J359" s="86">
        <f t="shared" si="90"/>
        <v>12093</v>
      </c>
      <c r="K359" s="86">
        <f t="shared" si="90"/>
        <v>8204</v>
      </c>
      <c r="L359" s="86">
        <f t="shared" si="90"/>
        <v>11283</v>
      </c>
      <c r="M359" s="86">
        <f t="shared" si="90"/>
        <v>8573</v>
      </c>
      <c r="N359" s="86">
        <f t="shared" si="90"/>
        <v>10181</v>
      </c>
      <c r="O359" s="86">
        <f t="shared" si="90"/>
        <v>9080</v>
      </c>
      <c r="P359" s="86">
        <f t="shared" si="90"/>
        <v>132080</v>
      </c>
      <c r="Q359"/>
    </row>
    <row r="360" spans="1:17" hidden="1" x14ac:dyDescent="0.25">
      <c r="A360"/>
      <c r="B360" s="88"/>
      <c r="C360" s="150" t="s">
        <v>80</v>
      </c>
      <c r="D360" s="151">
        <v>9414</v>
      </c>
      <c r="E360" s="151">
        <v>9990</v>
      </c>
      <c r="F360" s="152">
        <v>13112</v>
      </c>
      <c r="G360" s="153">
        <v>11503</v>
      </c>
      <c r="H360" s="152">
        <v>10750</v>
      </c>
      <c r="I360" s="154">
        <v>10194</v>
      </c>
      <c r="J360" s="154">
        <v>9916</v>
      </c>
      <c r="K360" s="152">
        <v>6609</v>
      </c>
      <c r="L360" s="152">
        <v>8949</v>
      </c>
      <c r="M360" s="152">
        <v>6346</v>
      </c>
      <c r="N360" s="152">
        <v>7879</v>
      </c>
      <c r="O360" s="152">
        <v>7194</v>
      </c>
      <c r="P360" s="155">
        <f>SUM(D360:O360)</f>
        <v>111856</v>
      </c>
    </row>
    <row r="361" spans="1:17" ht="9.9" hidden="1" customHeight="1" x14ac:dyDescent="0.25">
      <c r="A361"/>
      <c r="B361" s="88"/>
      <c r="C361" s="156" t="s">
        <v>86</v>
      </c>
      <c r="D361" s="102">
        <v>0</v>
      </c>
      <c r="E361" s="102">
        <v>0</v>
      </c>
      <c r="F361" s="90">
        <v>194</v>
      </c>
      <c r="G361" s="103">
        <v>1045</v>
      </c>
      <c r="H361" s="90">
        <v>1845</v>
      </c>
      <c r="I361" s="100">
        <v>2471</v>
      </c>
      <c r="J361" s="101">
        <v>2177</v>
      </c>
      <c r="K361" s="93">
        <v>1595</v>
      </c>
      <c r="L361" s="93">
        <v>2334</v>
      </c>
      <c r="M361" s="93">
        <v>2227</v>
      </c>
      <c r="N361" s="93">
        <v>2302</v>
      </c>
      <c r="O361" s="93">
        <v>1886</v>
      </c>
      <c r="P361" s="91">
        <f>SUM(D361:O361)</f>
        <v>18076</v>
      </c>
    </row>
    <row r="362" spans="1:17" ht="9.9" hidden="1" customHeight="1" x14ac:dyDescent="0.25">
      <c r="A362"/>
      <c r="B362" s="88"/>
      <c r="C362" s="89" t="s">
        <v>52</v>
      </c>
      <c r="D362" s="102">
        <v>961</v>
      </c>
      <c r="E362" s="102">
        <v>764</v>
      </c>
      <c r="F362" s="90">
        <v>8</v>
      </c>
      <c r="G362" s="103">
        <v>0</v>
      </c>
      <c r="H362" s="90">
        <v>0</v>
      </c>
      <c r="I362" s="100">
        <v>0</v>
      </c>
      <c r="J362" s="100"/>
      <c r="K362" s="90">
        <v>0</v>
      </c>
      <c r="L362" s="90">
        <v>0</v>
      </c>
      <c r="M362" s="90"/>
      <c r="N362" s="90"/>
      <c r="O362" s="90">
        <v>0</v>
      </c>
      <c r="P362" s="91">
        <f>SUM(D362:O362)</f>
        <v>1733</v>
      </c>
    </row>
    <row r="363" spans="1:17" ht="9.9" hidden="1" customHeight="1" x14ac:dyDescent="0.25">
      <c r="A363"/>
      <c r="B363" s="92"/>
      <c r="C363" s="156" t="s">
        <v>85</v>
      </c>
      <c r="D363" s="102">
        <v>211</v>
      </c>
      <c r="E363" s="102">
        <v>159</v>
      </c>
      <c r="F363" s="90">
        <v>44</v>
      </c>
      <c r="G363" s="103">
        <v>1</v>
      </c>
      <c r="H363" s="90">
        <v>0</v>
      </c>
      <c r="I363" s="100">
        <v>0</v>
      </c>
      <c r="J363" s="100"/>
      <c r="K363" s="90">
        <v>0</v>
      </c>
      <c r="L363" s="90">
        <v>0</v>
      </c>
      <c r="M363" s="90"/>
      <c r="N363" s="90"/>
      <c r="O363" s="90">
        <v>0</v>
      </c>
      <c r="P363" s="91">
        <f>SUM(D363:O363)</f>
        <v>415</v>
      </c>
    </row>
    <row r="364" spans="1:17" ht="6" hidden="1" customHeight="1" x14ac:dyDescent="0.25">
      <c r="A364"/>
      <c r="J364" s="118"/>
    </row>
    <row r="365" spans="1:17" hidden="1" x14ac:dyDescent="0.25">
      <c r="A365"/>
      <c r="B365" s="95" t="s">
        <v>25</v>
      </c>
      <c r="C365" s="96"/>
      <c r="D365" s="86">
        <f t="shared" ref="D365:P365" si="91">SUM(D366:D368)</f>
        <v>3997</v>
      </c>
      <c r="E365" s="86">
        <f t="shared" si="91"/>
        <v>4440</v>
      </c>
      <c r="F365" s="86">
        <f t="shared" si="91"/>
        <v>7578</v>
      </c>
      <c r="G365" s="86">
        <f t="shared" si="91"/>
        <v>9127</v>
      </c>
      <c r="H365" s="86">
        <f t="shared" si="91"/>
        <v>7597</v>
      </c>
      <c r="I365" s="86">
        <f t="shared" si="91"/>
        <v>9298</v>
      </c>
      <c r="J365" s="86">
        <f t="shared" si="91"/>
        <v>6685</v>
      </c>
      <c r="K365" s="86">
        <f t="shared" si="91"/>
        <v>6424</v>
      </c>
      <c r="L365" s="86">
        <f t="shared" si="91"/>
        <v>6424</v>
      </c>
      <c r="M365" s="86">
        <f t="shared" si="91"/>
        <v>7355</v>
      </c>
      <c r="N365" s="86">
        <f t="shared" si="91"/>
        <v>7459</v>
      </c>
      <c r="O365" s="86">
        <f t="shared" si="91"/>
        <v>6319</v>
      </c>
      <c r="P365" s="86">
        <f t="shared" si="91"/>
        <v>82703</v>
      </c>
    </row>
    <row r="366" spans="1:17" ht="9.9" hidden="1" customHeight="1" x14ac:dyDescent="0.25">
      <c r="A366"/>
      <c r="B366" s="88"/>
      <c r="C366" s="89" t="s">
        <v>26</v>
      </c>
      <c r="D366" s="90">
        <v>0</v>
      </c>
      <c r="E366" s="90">
        <v>0</v>
      </c>
      <c r="F366" s="90">
        <v>0</v>
      </c>
      <c r="G366" s="90">
        <v>0</v>
      </c>
      <c r="H366" s="90">
        <v>0</v>
      </c>
      <c r="I366" s="90"/>
      <c r="J366" s="90"/>
      <c r="K366" s="90"/>
      <c r="L366" s="90"/>
      <c r="M366" s="90"/>
      <c r="N366" s="90"/>
      <c r="O366" s="90"/>
      <c r="P366" s="91">
        <f>SUM(D366:O366)</f>
        <v>0</v>
      </c>
    </row>
    <row r="367" spans="1:17" ht="9.9" hidden="1" customHeight="1" x14ac:dyDescent="0.25">
      <c r="A367"/>
      <c r="B367" s="88"/>
      <c r="C367" s="89" t="s">
        <v>53</v>
      </c>
      <c r="D367" s="125">
        <v>3769</v>
      </c>
      <c r="E367" s="125">
        <v>4104</v>
      </c>
      <c r="F367" s="125">
        <v>7240</v>
      </c>
      <c r="G367" s="90">
        <v>8748</v>
      </c>
      <c r="H367" s="90">
        <v>7227</v>
      </c>
      <c r="I367" s="90">
        <v>8566</v>
      </c>
      <c r="J367" s="90">
        <v>6072</v>
      </c>
      <c r="K367" s="90">
        <v>5971</v>
      </c>
      <c r="L367" s="90">
        <v>5980</v>
      </c>
      <c r="M367" s="90">
        <v>7039</v>
      </c>
      <c r="N367" s="90">
        <v>6807</v>
      </c>
      <c r="O367" s="90">
        <v>5708</v>
      </c>
      <c r="P367" s="91">
        <f>SUM(D367:O367)</f>
        <v>77231</v>
      </c>
    </row>
    <row r="368" spans="1:17" s="16" customFormat="1" ht="12" hidden="1" customHeight="1" x14ac:dyDescent="0.25">
      <c r="A368"/>
      <c r="B368" s="92"/>
      <c r="C368" s="131" t="s">
        <v>57</v>
      </c>
      <c r="D368" s="125">
        <v>228</v>
      </c>
      <c r="E368" s="125">
        <v>336</v>
      </c>
      <c r="F368" s="125">
        <v>338</v>
      </c>
      <c r="G368" s="125">
        <v>379</v>
      </c>
      <c r="H368" s="125">
        <v>370</v>
      </c>
      <c r="I368" s="125">
        <v>732</v>
      </c>
      <c r="J368" s="125">
        <v>613</v>
      </c>
      <c r="K368" s="125">
        <v>453</v>
      </c>
      <c r="L368" s="125">
        <v>444</v>
      </c>
      <c r="M368" s="125">
        <v>316</v>
      </c>
      <c r="N368" s="125">
        <v>652</v>
      </c>
      <c r="O368" s="93">
        <v>611</v>
      </c>
      <c r="P368" s="91">
        <f>SUM(D368:O368)</f>
        <v>5472</v>
      </c>
      <c r="Q368" s="115"/>
    </row>
    <row r="369" spans="1:18" ht="14.25" hidden="1" customHeight="1" x14ac:dyDescent="0.25">
      <c r="A369"/>
      <c r="B369" s="104"/>
      <c r="C369" s="97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9"/>
    </row>
    <row r="370" spans="1:18" ht="12.75" hidden="1" customHeight="1" x14ac:dyDescent="0.25">
      <c r="A370"/>
      <c r="B370" s="84" t="s">
        <v>69</v>
      </c>
      <c r="C370" s="85"/>
      <c r="D370" s="86">
        <f t="shared" ref="D370:P370" si="92">SUM(D371:D372)</f>
        <v>525</v>
      </c>
      <c r="E370" s="86">
        <f t="shared" si="92"/>
        <v>545</v>
      </c>
      <c r="F370" s="86">
        <f t="shared" si="92"/>
        <v>1116</v>
      </c>
      <c r="G370" s="86">
        <f t="shared" si="92"/>
        <v>1055</v>
      </c>
      <c r="H370" s="86">
        <f t="shared" si="92"/>
        <v>1009</v>
      </c>
      <c r="I370" s="86">
        <f t="shared" si="92"/>
        <v>955</v>
      </c>
      <c r="J370" s="86">
        <f t="shared" si="92"/>
        <v>1216</v>
      </c>
      <c r="K370" s="86">
        <f t="shared" si="92"/>
        <v>1192</v>
      </c>
      <c r="L370" s="86">
        <f t="shared" si="92"/>
        <v>1250</v>
      </c>
      <c r="M370" s="86">
        <f t="shared" si="92"/>
        <v>989</v>
      </c>
      <c r="N370" s="86">
        <f t="shared" si="92"/>
        <v>1385</v>
      </c>
      <c r="O370" s="86">
        <f t="shared" si="92"/>
        <v>1162</v>
      </c>
      <c r="P370" s="87">
        <f t="shared" si="92"/>
        <v>12399</v>
      </c>
    </row>
    <row r="371" spans="1:18" ht="12.75" hidden="1" customHeight="1" x14ac:dyDescent="0.25">
      <c r="A371"/>
      <c r="B371" s="88"/>
      <c r="C371" s="89" t="s">
        <v>75</v>
      </c>
      <c r="D371" s="102">
        <v>255</v>
      </c>
      <c r="E371" s="102">
        <v>304</v>
      </c>
      <c r="F371" s="90">
        <v>732</v>
      </c>
      <c r="G371" s="103">
        <v>607</v>
      </c>
      <c r="H371" s="90">
        <v>517</v>
      </c>
      <c r="I371" s="100">
        <v>524</v>
      </c>
      <c r="J371" s="100">
        <v>810</v>
      </c>
      <c r="K371" s="90">
        <v>959</v>
      </c>
      <c r="L371" s="90">
        <v>846</v>
      </c>
      <c r="M371" s="90">
        <v>649</v>
      </c>
      <c r="N371" s="90">
        <v>961</v>
      </c>
      <c r="O371" s="90">
        <v>768</v>
      </c>
      <c r="P371" s="91">
        <f>SUM(D371:O371)</f>
        <v>7932</v>
      </c>
      <c r="Q371"/>
    </row>
    <row r="372" spans="1:18" ht="12.75" hidden="1" customHeight="1" x14ac:dyDescent="0.25">
      <c r="A372"/>
      <c r="B372" s="92"/>
      <c r="C372" s="89" t="s">
        <v>23</v>
      </c>
      <c r="D372" s="102">
        <v>270</v>
      </c>
      <c r="E372" s="102">
        <v>241</v>
      </c>
      <c r="F372" s="90">
        <v>384</v>
      </c>
      <c r="G372" s="103">
        <v>448</v>
      </c>
      <c r="H372" s="90">
        <v>492</v>
      </c>
      <c r="I372" s="100">
        <v>431</v>
      </c>
      <c r="J372" s="101">
        <v>406</v>
      </c>
      <c r="K372" s="93">
        <v>233</v>
      </c>
      <c r="L372" s="93">
        <v>404</v>
      </c>
      <c r="M372" s="93">
        <v>340</v>
      </c>
      <c r="N372" s="93">
        <v>424</v>
      </c>
      <c r="O372" s="93">
        <v>394</v>
      </c>
      <c r="P372" s="91">
        <f>SUM(D372:O372)</f>
        <v>4467</v>
      </c>
      <c r="Q372"/>
    </row>
    <row r="373" spans="1:18" ht="12.75" hidden="1" customHeight="1" x14ac:dyDescent="0.25">
      <c r="A373" s="16"/>
      <c r="B373" s="16"/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6"/>
      <c r="Q373"/>
    </row>
    <row r="374" spans="1:18" ht="12.75" hidden="1" customHeight="1" thickBot="1" x14ac:dyDescent="0.3">
      <c r="A374"/>
      <c r="B374" s="18" t="s">
        <v>68</v>
      </c>
      <c r="C374" s="18"/>
      <c r="Q374"/>
    </row>
    <row r="375" spans="1:18" ht="12.75" hidden="1" customHeight="1" thickBot="1" x14ac:dyDescent="0.3">
      <c r="A375"/>
      <c r="B375" s="390" t="s">
        <v>87</v>
      </c>
      <c r="C375" s="391"/>
      <c r="D375" s="21">
        <v>1</v>
      </c>
      <c r="E375" s="22">
        <v>2</v>
      </c>
      <c r="F375" s="22">
        <v>3</v>
      </c>
      <c r="G375" s="22">
        <v>4</v>
      </c>
      <c r="H375" s="22">
        <v>5</v>
      </c>
      <c r="I375" s="22">
        <v>6</v>
      </c>
      <c r="J375" s="22">
        <v>7</v>
      </c>
      <c r="K375" s="22">
        <v>8</v>
      </c>
      <c r="L375" s="22">
        <v>9</v>
      </c>
      <c r="M375" s="22">
        <v>10</v>
      </c>
      <c r="N375" s="22">
        <v>11</v>
      </c>
      <c r="O375" s="22">
        <v>12</v>
      </c>
      <c r="P375" s="23" t="s">
        <v>88</v>
      </c>
      <c r="Q375"/>
    </row>
    <row r="376" spans="1:18" ht="12.75" hidden="1" customHeight="1" x14ac:dyDescent="0.25">
      <c r="A376"/>
      <c r="B376" s="398" t="s">
        <v>89</v>
      </c>
      <c r="C376" s="38" t="s">
        <v>90</v>
      </c>
      <c r="D376" s="39">
        <v>1016</v>
      </c>
      <c r="E376" s="40">
        <v>1047</v>
      </c>
      <c r="F376" s="39">
        <v>1735</v>
      </c>
      <c r="G376" s="40">
        <v>1351</v>
      </c>
      <c r="H376" s="40">
        <v>1292</v>
      </c>
      <c r="I376" s="40">
        <v>1576</v>
      </c>
      <c r="J376" s="40">
        <v>827</v>
      </c>
      <c r="K376" s="40">
        <v>860</v>
      </c>
      <c r="L376" s="40">
        <v>687</v>
      </c>
      <c r="M376" s="40">
        <v>824</v>
      </c>
      <c r="N376" s="40">
        <v>684</v>
      </c>
      <c r="O376" s="40">
        <v>537</v>
      </c>
      <c r="P376" s="41">
        <f t="shared" ref="P376:P386" si="93">SUM(D376:O376)</f>
        <v>12436</v>
      </c>
      <c r="Q376"/>
    </row>
    <row r="377" spans="1:18" ht="12.75" hidden="1" customHeight="1" x14ac:dyDescent="0.25">
      <c r="A377"/>
      <c r="B377" s="399"/>
      <c r="C377" s="77" t="s">
        <v>91</v>
      </c>
      <c r="D377" s="78">
        <v>56</v>
      </c>
      <c r="E377" s="79">
        <v>67</v>
      </c>
      <c r="F377" s="78">
        <v>85</v>
      </c>
      <c r="G377" s="79">
        <v>94</v>
      </c>
      <c r="H377" s="79">
        <v>46</v>
      </c>
      <c r="I377" s="79">
        <v>83</v>
      </c>
      <c r="J377" s="79">
        <v>36</v>
      </c>
      <c r="K377" s="79">
        <v>38</v>
      </c>
      <c r="L377" s="81">
        <v>25</v>
      </c>
      <c r="M377" s="79">
        <v>47</v>
      </c>
      <c r="N377" s="79">
        <v>33</v>
      </c>
      <c r="O377" s="79">
        <v>25</v>
      </c>
      <c r="P377" s="80">
        <f t="shared" si="93"/>
        <v>635</v>
      </c>
      <c r="Q377"/>
    </row>
    <row r="378" spans="1:18" ht="12.75" hidden="1" customHeight="1" x14ac:dyDescent="0.25">
      <c r="A378"/>
      <c r="B378" s="399"/>
      <c r="C378" s="77" t="s">
        <v>92</v>
      </c>
      <c r="D378" s="78">
        <v>6996</v>
      </c>
      <c r="E378" s="78">
        <v>7932</v>
      </c>
      <c r="F378" s="78">
        <v>8753</v>
      </c>
      <c r="G378" s="78">
        <v>7658</v>
      </c>
      <c r="H378" s="78">
        <v>8472</v>
      </c>
      <c r="I378" s="78">
        <v>12364</v>
      </c>
      <c r="J378" s="78">
        <v>6244</v>
      </c>
      <c r="K378" s="78">
        <v>6756</v>
      </c>
      <c r="L378" s="78">
        <v>5135</v>
      </c>
      <c r="M378" s="78">
        <v>7943</v>
      </c>
      <c r="N378" s="78">
        <v>7752</v>
      </c>
      <c r="O378" s="78">
        <v>7799</v>
      </c>
      <c r="P378" s="31">
        <f t="shared" si="93"/>
        <v>93804</v>
      </c>
      <c r="Q378"/>
    </row>
    <row r="379" spans="1:18" ht="12.75" hidden="1" customHeight="1" x14ac:dyDescent="0.25">
      <c r="A379"/>
      <c r="B379" s="399"/>
      <c r="C379" s="77" t="s">
        <v>93</v>
      </c>
      <c r="D379" s="78">
        <v>493</v>
      </c>
      <c r="E379" s="78">
        <v>1311</v>
      </c>
      <c r="F379" s="78">
        <v>1250</v>
      </c>
      <c r="G379" s="78">
        <v>755</v>
      </c>
      <c r="H379" s="78">
        <v>765</v>
      </c>
      <c r="I379" s="78">
        <v>761</v>
      </c>
      <c r="J379" s="78">
        <v>945</v>
      </c>
      <c r="K379" s="78">
        <v>667</v>
      </c>
      <c r="L379" s="78">
        <v>384</v>
      </c>
      <c r="M379" s="78">
        <v>725</v>
      </c>
      <c r="N379" s="78">
        <v>1425</v>
      </c>
      <c r="O379" s="78">
        <v>1667</v>
      </c>
      <c r="P379" s="27">
        <f t="shared" si="93"/>
        <v>11148</v>
      </c>
      <c r="Q379"/>
    </row>
    <row r="380" spans="1:18" ht="12.75" hidden="1" customHeight="1" x14ac:dyDescent="0.25">
      <c r="A380"/>
      <c r="B380" s="399"/>
      <c r="C380" s="28" t="s">
        <v>94</v>
      </c>
      <c r="D380" s="29">
        <v>174</v>
      </c>
      <c r="E380" s="30">
        <v>191</v>
      </c>
      <c r="F380" s="29">
        <v>284</v>
      </c>
      <c r="G380" s="30">
        <v>124</v>
      </c>
      <c r="H380" s="30">
        <v>115</v>
      </c>
      <c r="I380" s="30">
        <v>96</v>
      </c>
      <c r="J380" s="30">
        <v>45</v>
      </c>
      <c r="K380" s="30">
        <v>35</v>
      </c>
      <c r="L380" s="32">
        <v>172</v>
      </c>
      <c r="M380" s="30">
        <v>648</v>
      </c>
      <c r="N380" s="30">
        <v>463</v>
      </c>
      <c r="O380" s="30">
        <v>94</v>
      </c>
      <c r="P380" s="80">
        <f t="shared" si="93"/>
        <v>2441</v>
      </c>
      <c r="Q380"/>
    </row>
    <row r="381" spans="1:18" ht="12.75" hidden="1" customHeight="1" x14ac:dyDescent="0.25">
      <c r="A381"/>
      <c r="B381" s="399"/>
      <c r="C381" s="75" t="s">
        <v>95</v>
      </c>
      <c r="D381" s="76">
        <v>6207</v>
      </c>
      <c r="E381" s="76">
        <v>5916</v>
      </c>
      <c r="F381" s="76">
        <v>7053</v>
      </c>
      <c r="G381" s="76">
        <v>8057</v>
      </c>
      <c r="H381" s="76">
        <v>8547</v>
      </c>
      <c r="I381" s="76">
        <v>8768</v>
      </c>
      <c r="J381" s="76">
        <v>6858</v>
      </c>
      <c r="K381" s="76">
        <v>5923</v>
      </c>
      <c r="L381" s="76">
        <v>6106</v>
      </c>
      <c r="M381" s="76">
        <v>5604</v>
      </c>
      <c r="N381" s="76">
        <v>5907</v>
      </c>
      <c r="O381" s="76">
        <v>7257</v>
      </c>
      <c r="P381" s="80">
        <f t="shared" si="93"/>
        <v>82203</v>
      </c>
      <c r="Q381"/>
      <c r="R381" t="s">
        <v>63</v>
      </c>
    </row>
    <row r="382" spans="1:18" ht="12.75" hidden="1" customHeight="1" x14ac:dyDescent="0.25">
      <c r="A382"/>
      <c r="B382" s="399"/>
      <c r="C382" s="75" t="s">
        <v>96</v>
      </c>
      <c r="D382" s="76">
        <v>122</v>
      </c>
      <c r="E382" s="76">
        <v>107</v>
      </c>
      <c r="F382" s="76">
        <v>299</v>
      </c>
      <c r="G382" s="76">
        <v>150</v>
      </c>
      <c r="H382" s="76">
        <v>101</v>
      </c>
      <c r="I382" s="76">
        <v>112</v>
      </c>
      <c r="J382" s="76">
        <v>83</v>
      </c>
      <c r="K382" s="76">
        <v>68</v>
      </c>
      <c r="L382" s="76">
        <v>84</v>
      </c>
      <c r="M382" s="76">
        <v>68</v>
      </c>
      <c r="N382" s="76">
        <v>33</v>
      </c>
      <c r="O382" s="76">
        <v>64</v>
      </c>
      <c r="P382" s="80">
        <f t="shared" si="93"/>
        <v>1291</v>
      </c>
      <c r="Q382"/>
    </row>
    <row r="383" spans="1:18" ht="12.75" hidden="1" customHeight="1" x14ac:dyDescent="0.25">
      <c r="A383"/>
      <c r="B383" s="399"/>
      <c r="C383" s="73" t="s">
        <v>97</v>
      </c>
      <c r="D383" s="74">
        <v>5041</v>
      </c>
      <c r="E383" s="74">
        <v>3876</v>
      </c>
      <c r="F383" s="74">
        <v>4550</v>
      </c>
      <c r="G383" s="74">
        <v>5165</v>
      </c>
      <c r="H383" s="74">
        <v>5144</v>
      </c>
      <c r="I383" s="74">
        <v>6412</v>
      </c>
      <c r="J383" s="74">
        <v>3450</v>
      </c>
      <c r="K383" s="74">
        <v>3069</v>
      </c>
      <c r="L383" s="74">
        <v>3268</v>
      </c>
      <c r="M383" s="74">
        <v>3527</v>
      </c>
      <c r="N383" s="74">
        <v>7984</v>
      </c>
      <c r="O383" s="74">
        <v>17247</v>
      </c>
      <c r="P383" s="80">
        <f t="shared" si="93"/>
        <v>68733</v>
      </c>
      <c r="Q383"/>
    </row>
    <row r="384" spans="1:18" ht="12.75" hidden="1" customHeight="1" x14ac:dyDescent="0.25">
      <c r="A384"/>
      <c r="B384" s="399"/>
      <c r="C384" s="128" t="s">
        <v>98</v>
      </c>
      <c r="D384" s="129">
        <v>266</v>
      </c>
      <c r="E384" s="130">
        <v>151</v>
      </c>
      <c r="F384" s="130">
        <v>168</v>
      </c>
      <c r="G384" s="130">
        <v>176</v>
      </c>
      <c r="H384" s="130">
        <v>176</v>
      </c>
      <c r="I384" s="130">
        <v>158</v>
      </c>
      <c r="J384" s="130">
        <v>80</v>
      </c>
      <c r="K384" s="130">
        <v>91</v>
      </c>
      <c r="L384" s="130">
        <v>98</v>
      </c>
      <c r="M384" s="129">
        <v>240</v>
      </c>
      <c r="N384" s="129">
        <v>134</v>
      </c>
      <c r="O384" s="129">
        <v>508</v>
      </c>
      <c r="P384" s="80">
        <f t="shared" si="93"/>
        <v>2246</v>
      </c>
      <c r="Q384"/>
    </row>
    <row r="385" spans="1:17" ht="12.75" hidden="1" customHeight="1" x14ac:dyDescent="0.25">
      <c r="A385"/>
      <c r="B385" s="399"/>
      <c r="C385" s="33" t="s">
        <v>99</v>
      </c>
      <c r="D385" s="34">
        <v>8</v>
      </c>
      <c r="E385" s="32">
        <v>4</v>
      </c>
      <c r="F385" s="34">
        <v>20</v>
      </c>
      <c r="G385" s="32">
        <v>15</v>
      </c>
      <c r="H385" s="32">
        <v>14</v>
      </c>
      <c r="I385" s="32">
        <v>4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80">
        <f t="shared" si="93"/>
        <v>65</v>
      </c>
      <c r="Q385"/>
    </row>
    <row r="386" spans="1:17" ht="12.75" hidden="1" customHeight="1" x14ac:dyDescent="0.25">
      <c r="A386"/>
      <c r="B386" s="399"/>
      <c r="C386" s="33" t="s">
        <v>100</v>
      </c>
      <c r="D386" s="34">
        <v>34</v>
      </c>
      <c r="E386" s="32">
        <v>8</v>
      </c>
      <c r="F386" s="34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80">
        <f t="shared" si="93"/>
        <v>42</v>
      </c>
      <c r="Q386"/>
    </row>
    <row r="387" spans="1:17" ht="12.75" hidden="1" customHeight="1" thickBot="1" x14ac:dyDescent="0.3">
      <c r="A387"/>
      <c r="B387" s="394"/>
      <c r="C387" s="42" t="s">
        <v>88</v>
      </c>
      <c r="D387" s="43">
        <f>SUM(D376:D386)</f>
        <v>20413</v>
      </c>
      <c r="E387" s="43">
        <f t="shared" ref="E387:P387" si="94">SUM(E376:E386)</f>
        <v>20610</v>
      </c>
      <c r="F387" s="43">
        <f t="shared" si="94"/>
        <v>24197</v>
      </c>
      <c r="G387" s="43">
        <f t="shared" si="94"/>
        <v>23545</v>
      </c>
      <c r="H387" s="43">
        <f t="shared" si="94"/>
        <v>24672</v>
      </c>
      <c r="I387" s="43">
        <f t="shared" si="94"/>
        <v>30334</v>
      </c>
      <c r="J387" s="43">
        <v>18568</v>
      </c>
      <c r="K387" s="43">
        <v>17507</v>
      </c>
      <c r="L387" s="43">
        <v>15959</v>
      </c>
      <c r="M387" s="43">
        <v>19626</v>
      </c>
      <c r="N387" s="43">
        <v>24415</v>
      </c>
      <c r="O387" s="43">
        <v>35198</v>
      </c>
      <c r="P387" s="44">
        <f t="shared" si="94"/>
        <v>275044</v>
      </c>
      <c r="Q387"/>
    </row>
    <row r="388" spans="1:17" ht="12.75" hidden="1" customHeight="1" x14ac:dyDescent="0.25">
      <c r="A388"/>
      <c r="B388" s="396" t="s">
        <v>101</v>
      </c>
      <c r="C388" s="24" t="s">
        <v>102</v>
      </c>
      <c r="D388" s="25">
        <v>4479</v>
      </c>
      <c r="E388" s="26">
        <v>3813</v>
      </c>
      <c r="F388" s="26">
        <v>5202</v>
      </c>
      <c r="G388" s="26">
        <v>5744</v>
      </c>
      <c r="H388" s="26">
        <v>5954</v>
      </c>
      <c r="I388" s="26">
        <v>6549</v>
      </c>
      <c r="J388" s="26">
        <v>3443</v>
      </c>
      <c r="K388" s="26">
        <v>3963</v>
      </c>
      <c r="L388" s="26">
        <v>3720</v>
      </c>
      <c r="M388" s="26">
        <v>4127</v>
      </c>
      <c r="N388" s="26">
        <v>4238</v>
      </c>
      <c r="O388" s="26">
        <v>5524</v>
      </c>
      <c r="P388" s="41">
        <f t="shared" ref="P388:P400" si="95">SUM(D388:O388)</f>
        <v>56756</v>
      </c>
      <c r="Q388"/>
    </row>
    <row r="389" spans="1:17" ht="12.75" hidden="1" customHeight="1" x14ac:dyDescent="0.25">
      <c r="A389"/>
      <c r="B389" s="396"/>
      <c r="C389" s="28" t="s">
        <v>103</v>
      </c>
      <c r="D389" s="29">
        <v>5074</v>
      </c>
      <c r="E389" s="30">
        <v>5985</v>
      </c>
      <c r="F389" s="30">
        <v>7245</v>
      </c>
      <c r="G389" s="30">
        <v>6518</v>
      </c>
      <c r="H389" s="30">
        <v>7387</v>
      </c>
      <c r="I389" s="30">
        <v>8969</v>
      </c>
      <c r="J389" s="30">
        <v>4670</v>
      </c>
      <c r="K389" s="30">
        <v>5609</v>
      </c>
      <c r="L389" s="30">
        <v>7451</v>
      </c>
      <c r="M389" s="30">
        <v>4027</v>
      </c>
      <c r="N389" s="30">
        <v>5464</v>
      </c>
      <c r="O389" s="30">
        <v>8518</v>
      </c>
      <c r="P389" s="80">
        <f t="shared" si="95"/>
        <v>76917</v>
      </c>
      <c r="Q389"/>
    </row>
    <row r="390" spans="1:17" ht="12.75" hidden="1" customHeight="1" x14ac:dyDescent="0.25">
      <c r="A390"/>
      <c r="B390" s="396"/>
      <c r="C390" s="28" t="s">
        <v>104</v>
      </c>
      <c r="D390" s="29">
        <v>965</v>
      </c>
      <c r="E390" s="30">
        <v>751</v>
      </c>
      <c r="F390" s="30">
        <v>1126</v>
      </c>
      <c r="G390" s="30">
        <v>1000</v>
      </c>
      <c r="H390" s="30">
        <v>908</v>
      </c>
      <c r="I390" s="30">
        <v>1169</v>
      </c>
      <c r="J390" s="30">
        <v>505</v>
      </c>
      <c r="K390" s="30">
        <v>524</v>
      </c>
      <c r="L390" s="30">
        <v>558</v>
      </c>
      <c r="M390" s="30">
        <v>563</v>
      </c>
      <c r="N390" s="30">
        <v>500</v>
      </c>
      <c r="O390" s="30">
        <v>1017</v>
      </c>
      <c r="P390" s="31">
        <f t="shared" si="95"/>
        <v>9586</v>
      </c>
      <c r="Q390"/>
    </row>
    <row r="391" spans="1:17" ht="12.75" hidden="1" customHeight="1" thickBot="1" x14ac:dyDescent="0.3">
      <c r="A391"/>
      <c r="B391" s="400"/>
      <c r="C391" s="35" t="s">
        <v>88</v>
      </c>
      <c r="D391" s="36">
        <f t="shared" ref="D391:I391" si="96">SUM(D388:D390)</f>
        <v>10518</v>
      </c>
      <c r="E391" s="36">
        <f t="shared" si="96"/>
        <v>10549</v>
      </c>
      <c r="F391" s="36">
        <f t="shared" si="96"/>
        <v>13573</v>
      </c>
      <c r="G391" s="36">
        <f t="shared" si="96"/>
        <v>13262</v>
      </c>
      <c r="H391" s="36">
        <f t="shared" si="96"/>
        <v>14249</v>
      </c>
      <c r="I391" s="36">
        <f t="shared" si="96"/>
        <v>16687</v>
      </c>
      <c r="J391" s="36">
        <v>8618</v>
      </c>
      <c r="K391" s="36">
        <v>10096</v>
      </c>
      <c r="L391" s="36">
        <v>11729</v>
      </c>
      <c r="M391" s="36">
        <v>8717</v>
      </c>
      <c r="N391" s="36">
        <v>10202</v>
      </c>
      <c r="O391" s="36">
        <v>15059</v>
      </c>
      <c r="P391" s="37">
        <f t="shared" si="95"/>
        <v>143259</v>
      </c>
      <c r="Q391"/>
    </row>
    <row r="392" spans="1:17" ht="12.75" hidden="1" customHeight="1" x14ac:dyDescent="0.25">
      <c r="A392"/>
      <c r="B392" s="392" t="s">
        <v>105</v>
      </c>
      <c r="C392" s="38" t="s">
        <v>19</v>
      </c>
      <c r="D392" s="39">
        <v>3840</v>
      </c>
      <c r="E392" s="40">
        <v>3152</v>
      </c>
      <c r="F392" s="40">
        <v>4370</v>
      </c>
      <c r="G392" s="40">
        <v>4160</v>
      </c>
      <c r="H392" s="40">
        <v>3717</v>
      </c>
      <c r="I392" s="40">
        <v>4383</v>
      </c>
      <c r="J392" s="40">
        <v>3929</v>
      </c>
      <c r="K392" s="40">
        <v>3884</v>
      </c>
      <c r="L392" s="40">
        <v>2623</v>
      </c>
      <c r="M392" s="40">
        <v>3447</v>
      </c>
      <c r="N392" s="40">
        <v>4289</v>
      </c>
      <c r="O392" s="40">
        <v>3984</v>
      </c>
      <c r="P392" s="41">
        <f t="shared" si="95"/>
        <v>45778</v>
      </c>
      <c r="Q392"/>
    </row>
    <row r="393" spans="1:17" ht="12.75" hidden="1" customHeight="1" x14ac:dyDescent="0.25">
      <c r="A393"/>
      <c r="B393" s="393"/>
      <c r="C393" s="24" t="s">
        <v>20</v>
      </c>
      <c r="D393" s="25">
        <v>8632</v>
      </c>
      <c r="E393" s="26">
        <v>7098</v>
      </c>
      <c r="F393" s="26">
        <v>10214</v>
      </c>
      <c r="G393" s="26">
        <v>9155</v>
      </c>
      <c r="H393" s="26">
        <v>9597</v>
      </c>
      <c r="I393" s="26">
        <v>9993</v>
      </c>
      <c r="J393" s="26">
        <v>8276</v>
      </c>
      <c r="K393" s="26">
        <v>4037</v>
      </c>
      <c r="L393" s="26">
        <v>4434</v>
      </c>
      <c r="M393" s="26">
        <v>6679</v>
      </c>
      <c r="N393" s="26">
        <v>8862</v>
      </c>
      <c r="O393" s="26">
        <v>9973</v>
      </c>
      <c r="P393" s="27">
        <f t="shared" si="95"/>
        <v>96950</v>
      </c>
      <c r="Q393"/>
    </row>
    <row r="394" spans="1:17" ht="12.75" hidden="1" customHeight="1" thickBot="1" x14ac:dyDescent="0.3">
      <c r="A394"/>
      <c r="B394" s="394"/>
      <c r="C394" s="42" t="s">
        <v>88</v>
      </c>
      <c r="D394" s="43">
        <f t="shared" ref="D394:I394" si="97">SUM(D392:D393)</f>
        <v>12472</v>
      </c>
      <c r="E394" s="43">
        <f t="shared" si="97"/>
        <v>10250</v>
      </c>
      <c r="F394" s="43">
        <f t="shared" si="97"/>
        <v>14584</v>
      </c>
      <c r="G394" s="43">
        <f t="shared" si="97"/>
        <v>13315</v>
      </c>
      <c r="H394" s="43">
        <f t="shared" si="97"/>
        <v>13314</v>
      </c>
      <c r="I394" s="43">
        <f t="shared" si="97"/>
        <v>14376</v>
      </c>
      <c r="J394" s="43">
        <v>12205</v>
      </c>
      <c r="K394" s="43">
        <v>7921</v>
      </c>
      <c r="L394" s="43">
        <v>7057</v>
      </c>
      <c r="M394" s="43">
        <v>10126</v>
      </c>
      <c r="N394" s="43">
        <v>13151</v>
      </c>
      <c r="O394" s="43">
        <v>13957</v>
      </c>
      <c r="P394" s="44">
        <f t="shared" si="95"/>
        <v>142728</v>
      </c>
      <c r="Q394"/>
    </row>
    <row r="395" spans="1:17" ht="12.75" hidden="1" customHeight="1" x14ac:dyDescent="0.25">
      <c r="A395"/>
      <c r="B395" s="392" t="s">
        <v>106</v>
      </c>
      <c r="C395" s="38" t="s">
        <v>107</v>
      </c>
      <c r="D395" s="39">
        <v>616</v>
      </c>
      <c r="E395" s="40">
        <v>733</v>
      </c>
      <c r="F395" s="40">
        <v>819</v>
      </c>
      <c r="G395" s="40">
        <v>721</v>
      </c>
      <c r="H395" s="40">
        <v>693</v>
      </c>
      <c r="I395" s="40">
        <v>701</v>
      </c>
      <c r="J395" s="40">
        <v>618</v>
      </c>
      <c r="K395" s="40">
        <v>406</v>
      </c>
      <c r="L395" s="40">
        <v>427</v>
      </c>
      <c r="M395" s="40">
        <v>554</v>
      </c>
      <c r="N395" s="40">
        <v>557</v>
      </c>
      <c r="O395" s="40">
        <v>715</v>
      </c>
      <c r="P395" s="41">
        <f t="shared" si="95"/>
        <v>7560</v>
      </c>
      <c r="Q395"/>
    </row>
    <row r="396" spans="1:17" ht="12.75" hidden="1" customHeight="1" x14ac:dyDescent="0.25">
      <c r="A396"/>
      <c r="B396" s="393"/>
      <c r="C396" s="24" t="s">
        <v>108</v>
      </c>
      <c r="D396" s="25">
        <v>1394</v>
      </c>
      <c r="E396" s="26">
        <v>1523</v>
      </c>
      <c r="F396" s="26">
        <v>2134</v>
      </c>
      <c r="G396" s="26">
        <v>2213</v>
      </c>
      <c r="H396" s="26">
        <v>2110</v>
      </c>
      <c r="I396" s="26">
        <v>2136</v>
      </c>
      <c r="J396" s="26">
        <v>2079</v>
      </c>
      <c r="K396" s="26">
        <v>1680</v>
      </c>
      <c r="L396" s="26">
        <v>1900</v>
      </c>
      <c r="M396" s="26">
        <v>2322</v>
      </c>
      <c r="N396" s="26">
        <v>2345</v>
      </c>
      <c r="O396" s="26">
        <v>1937</v>
      </c>
      <c r="P396" s="27">
        <f t="shared" si="95"/>
        <v>23773</v>
      </c>
      <c r="Q396"/>
    </row>
    <row r="397" spans="1:17" ht="4.5" hidden="1" customHeight="1" thickBot="1" x14ac:dyDescent="0.3">
      <c r="A397"/>
      <c r="B397" s="394"/>
      <c r="C397" s="42" t="s">
        <v>88</v>
      </c>
      <c r="D397" s="43">
        <f t="shared" ref="D397:I397" si="98">SUM(D395:D396)</f>
        <v>2010</v>
      </c>
      <c r="E397" s="43">
        <f t="shared" si="98"/>
        <v>2256</v>
      </c>
      <c r="F397" s="43">
        <f t="shared" si="98"/>
        <v>2953</v>
      </c>
      <c r="G397" s="43">
        <f t="shared" si="98"/>
        <v>2934</v>
      </c>
      <c r="H397" s="43">
        <f t="shared" si="98"/>
        <v>2803</v>
      </c>
      <c r="I397" s="43">
        <f t="shared" si="98"/>
        <v>2837</v>
      </c>
      <c r="J397" s="43">
        <v>2697</v>
      </c>
      <c r="K397" s="43">
        <v>2086</v>
      </c>
      <c r="L397" s="43">
        <v>2327</v>
      </c>
      <c r="M397" s="43">
        <v>2876</v>
      </c>
      <c r="N397" s="43">
        <v>2902</v>
      </c>
      <c r="O397" s="43">
        <v>2652</v>
      </c>
      <c r="P397" s="44">
        <f t="shared" si="95"/>
        <v>31333</v>
      </c>
      <c r="Q397"/>
    </row>
    <row r="398" spans="1:17" ht="13.5" hidden="1" customHeight="1" x14ac:dyDescent="0.25">
      <c r="A398"/>
      <c r="B398" s="401" t="s">
        <v>109</v>
      </c>
      <c r="C398" s="136" t="s">
        <v>110</v>
      </c>
      <c r="D398" s="134">
        <v>2275</v>
      </c>
      <c r="E398" s="134">
        <v>2703</v>
      </c>
      <c r="F398" s="134">
        <v>3289</v>
      </c>
      <c r="G398" s="134">
        <v>3423</v>
      </c>
      <c r="H398" s="134">
        <v>2896</v>
      </c>
      <c r="I398" s="134">
        <v>2711</v>
      </c>
      <c r="J398" s="134">
        <v>4574</v>
      </c>
      <c r="K398" s="134">
        <v>3409</v>
      </c>
      <c r="L398" s="134">
        <v>3500</v>
      </c>
      <c r="M398" s="134">
        <v>4876</v>
      </c>
      <c r="N398" s="134">
        <v>5051</v>
      </c>
      <c r="O398" s="134">
        <v>4243</v>
      </c>
      <c r="P398" s="135">
        <f t="shared" si="95"/>
        <v>42950</v>
      </c>
    </row>
    <row r="399" spans="1:17" ht="9.75" hidden="1" customHeight="1" x14ac:dyDescent="0.25">
      <c r="A399"/>
      <c r="B399" s="402"/>
      <c r="C399" s="28" t="s">
        <v>111</v>
      </c>
      <c r="D399" s="29">
        <v>2164</v>
      </c>
      <c r="E399" s="30">
        <v>2476</v>
      </c>
      <c r="F399" s="30">
        <v>3570</v>
      </c>
      <c r="G399" s="30">
        <v>2986</v>
      </c>
      <c r="H399" s="30">
        <v>2893</v>
      </c>
      <c r="I399" s="30">
        <v>3025</v>
      </c>
      <c r="J399" s="30">
        <v>1217</v>
      </c>
      <c r="K399" s="30">
        <v>1093</v>
      </c>
      <c r="L399" s="30">
        <v>976</v>
      </c>
      <c r="M399" s="30">
        <v>965</v>
      </c>
      <c r="N399" s="30">
        <v>911</v>
      </c>
      <c r="O399" s="30">
        <v>1052</v>
      </c>
      <c r="P399" s="31">
        <f t="shared" si="95"/>
        <v>23328</v>
      </c>
    </row>
    <row r="400" spans="1:17" ht="9.9" hidden="1" customHeight="1" thickBot="1" x14ac:dyDescent="0.3">
      <c r="A400"/>
      <c r="B400" s="403"/>
      <c r="C400" s="42" t="s">
        <v>88</v>
      </c>
      <c r="D400" s="43">
        <f t="shared" ref="D400:I400" si="99">SUM(D398:D399)</f>
        <v>4439</v>
      </c>
      <c r="E400" s="43">
        <f t="shared" si="99"/>
        <v>5179</v>
      </c>
      <c r="F400" s="43">
        <f t="shared" si="99"/>
        <v>6859</v>
      </c>
      <c r="G400" s="43">
        <f t="shared" si="99"/>
        <v>6409</v>
      </c>
      <c r="H400" s="43">
        <f t="shared" si="99"/>
        <v>5789</v>
      </c>
      <c r="I400" s="43">
        <f t="shared" si="99"/>
        <v>5736</v>
      </c>
      <c r="J400" s="43">
        <v>5791</v>
      </c>
      <c r="K400" s="43">
        <v>4502</v>
      </c>
      <c r="L400" s="43">
        <v>4476</v>
      </c>
      <c r="M400" s="43">
        <v>5841</v>
      </c>
      <c r="N400" s="43">
        <v>5962</v>
      </c>
      <c r="O400" s="43">
        <v>5295</v>
      </c>
      <c r="P400" s="43">
        <f t="shared" si="95"/>
        <v>66278</v>
      </c>
    </row>
    <row r="401" spans="1:17" ht="9.9" hidden="1" customHeight="1" thickBot="1" x14ac:dyDescent="0.3">
      <c r="A401"/>
      <c r="B401" s="404" t="s">
        <v>112</v>
      </c>
      <c r="C401" s="405"/>
      <c r="D401" s="45">
        <f>D387+D391+D394+D397+D400</f>
        <v>49852</v>
      </c>
      <c r="E401" s="45">
        <f t="shared" ref="E401:P401" si="100">E387+E391+E394+E397+E400</f>
        <v>48844</v>
      </c>
      <c r="F401" s="45">
        <f t="shared" si="100"/>
        <v>62166</v>
      </c>
      <c r="G401" s="45">
        <f t="shared" si="100"/>
        <v>59465</v>
      </c>
      <c r="H401" s="45">
        <f t="shared" si="100"/>
        <v>60827</v>
      </c>
      <c r="I401" s="45">
        <f t="shared" si="100"/>
        <v>69970</v>
      </c>
      <c r="J401" s="45">
        <f t="shared" ref="J401:O401" si="101">J387+J391+J394+J397+J400</f>
        <v>47879</v>
      </c>
      <c r="K401" s="45">
        <f t="shared" si="101"/>
        <v>42112</v>
      </c>
      <c r="L401" s="45">
        <f t="shared" si="101"/>
        <v>41548</v>
      </c>
      <c r="M401" s="45">
        <f t="shared" si="101"/>
        <v>47186</v>
      </c>
      <c r="N401" s="45">
        <f t="shared" si="101"/>
        <v>56632</v>
      </c>
      <c r="O401" s="45">
        <f t="shared" si="101"/>
        <v>72161</v>
      </c>
      <c r="P401" s="45">
        <f t="shared" si="100"/>
        <v>658642</v>
      </c>
    </row>
    <row r="402" spans="1:17" ht="4.5" hidden="1" customHeight="1" x14ac:dyDescent="0.25">
      <c r="A402"/>
      <c r="D402"/>
      <c r="E402"/>
      <c r="F402"/>
      <c r="G402"/>
      <c r="H402"/>
      <c r="I402"/>
      <c r="J402" s="118"/>
      <c r="K402"/>
      <c r="L402"/>
      <c r="M402"/>
      <c r="N402"/>
      <c r="O402"/>
      <c r="P402"/>
      <c r="Q402"/>
    </row>
    <row r="403" spans="1:17" ht="13.5" hidden="1" customHeight="1" x14ac:dyDescent="0.25">
      <c r="A403"/>
      <c r="B403" s="84" t="s">
        <v>27</v>
      </c>
      <c r="C403" s="85"/>
      <c r="D403" s="86">
        <f t="shared" ref="D403:I403" si="102">SUM(D404:D406)</f>
        <v>5041</v>
      </c>
      <c r="E403" s="86">
        <f t="shared" si="102"/>
        <v>3876</v>
      </c>
      <c r="F403" s="86">
        <f t="shared" si="102"/>
        <v>4550</v>
      </c>
      <c r="G403" s="86">
        <f t="shared" si="102"/>
        <v>5165</v>
      </c>
      <c r="H403" s="86">
        <f t="shared" si="102"/>
        <v>5144</v>
      </c>
      <c r="I403" s="86">
        <f t="shared" si="102"/>
        <v>6412</v>
      </c>
      <c r="J403" s="86">
        <f t="shared" ref="J403:P403" si="103">SUM(J404:J406)</f>
        <v>3450</v>
      </c>
      <c r="K403" s="86">
        <f t="shared" si="103"/>
        <v>3069</v>
      </c>
      <c r="L403" s="86">
        <f t="shared" si="103"/>
        <v>3268</v>
      </c>
      <c r="M403" s="86">
        <f t="shared" si="103"/>
        <v>3527</v>
      </c>
      <c r="N403" s="86">
        <f t="shared" si="103"/>
        <v>7984</v>
      </c>
      <c r="O403" s="86">
        <f t="shared" si="103"/>
        <v>17247</v>
      </c>
      <c r="P403" s="86">
        <f t="shared" si="103"/>
        <v>68733</v>
      </c>
    </row>
    <row r="404" spans="1:17" ht="9.9" hidden="1" customHeight="1" x14ac:dyDescent="0.25">
      <c r="A404"/>
      <c r="B404" s="88"/>
      <c r="C404" s="138" t="s">
        <v>80</v>
      </c>
      <c r="D404" s="139">
        <v>0</v>
      </c>
      <c r="E404" s="139">
        <v>0</v>
      </c>
      <c r="F404" s="140">
        <v>0</v>
      </c>
      <c r="G404" s="141">
        <v>0</v>
      </c>
      <c r="H404" s="140">
        <v>0</v>
      </c>
      <c r="I404" s="142">
        <v>0</v>
      </c>
      <c r="J404" s="149">
        <v>0</v>
      </c>
      <c r="K404" s="148">
        <v>0</v>
      </c>
      <c r="L404" s="148">
        <v>0</v>
      </c>
      <c r="M404" s="148">
        <v>0</v>
      </c>
      <c r="N404" s="148">
        <v>4606</v>
      </c>
      <c r="O404" s="148">
        <v>13833</v>
      </c>
      <c r="P404" s="143">
        <f>SUM(D404:O404)</f>
        <v>18439</v>
      </c>
    </row>
    <row r="405" spans="1:17" ht="9.9" hidden="1" customHeight="1" x14ac:dyDescent="0.25">
      <c r="A405"/>
      <c r="B405" s="88"/>
      <c r="C405" s="89" t="s">
        <v>52</v>
      </c>
      <c r="D405" s="102">
        <v>4419</v>
      </c>
      <c r="E405" s="102">
        <v>3331</v>
      </c>
      <c r="F405" s="90">
        <v>4006</v>
      </c>
      <c r="G405" s="103">
        <v>3932</v>
      </c>
      <c r="H405" s="90">
        <v>4518</v>
      </c>
      <c r="I405" s="100">
        <v>5357</v>
      </c>
      <c r="J405" s="100">
        <v>2993</v>
      </c>
      <c r="K405" s="90">
        <v>2772</v>
      </c>
      <c r="L405" s="90">
        <v>3050</v>
      </c>
      <c r="M405" s="90">
        <v>3160</v>
      </c>
      <c r="N405" s="90">
        <v>3145</v>
      </c>
      <c r="O405" s="90">
        <v>2697</v>
      </c>
      <c r="P405" s="91">
        <f>SUM(D405:O405)</f>
        <v>43380</v>
      </c>
    </row>
    <row r="406" spans="1:17" ht="9.9" hidden="1" customHeight="1" x14ac:dyDescent="0.25">
      <c r="A406"/>
      <c r="B406" s="92"/>
      <c r="C406" s="89" t="s">
        <v>23</v>
      </c>
      <c r="D406" s="102">
        <v>622</v>
      </c>
      <c r="E406" s="102">
        <v>545</v>
      </c>
      <c r="F406" s="90">
        <v>544</v>
      </c>
      <c r="G406" s="103">
        <v>1233</v>
      </c>
      <c r="H406" s="90">
        <v>626</v>
      </c>
      <c r="I406" s="100">
        <v>1055</v>
      </c>
      <c r="J406" s="101">
        <v>457</v>
      </c>
      <c r="K406" s="93">
        <v>297</v>
      </c>
      <c r="L406" s="93">
        <v>218</v>
      </c>
      <c r="M406" s="93">
        <v>367</v>
      </c>
      <c r="N406" s="93">
        <v>233</v>
      </c>
      <c r="O406" s="93">
        <v>717</v>
      </c>
      <c r="P406" s="91">
        <f>SUM(D406:O406)</f>
        <v>6914</v>
      </c>
    </row>
    <row r="407" spans="1:17" ht="6" hidden="1" customHeight="1" x14ac:dyDescent="0.25">
      <c r="A407"/>
      <c r="D407"/>
      <c r="E407"/>
      <c r="F407"/>
      <c r="G407"/>
      <c r="H407"/>
      <c r="I407"/>
      <c r="J407" s="118"/>
      <c r="K407"/>
      <c r="L407"/>
      <c r="M407"/>
      <c r="N407"/>
      <c r="O407"/>
      <c r="P407"/>
    </row>
    <row r="408" spans="1:17" ht="13.5" hidden="1" customHeight="1" x14ac:dyDescent="0.25">
      <c r="A408"/>
      <c r="B408" s="95" t="s">
        <v>25</v>
      </c>
      <c r="C408" s="96"/>
      <c r="D408" s="86">
        <f>SUM(D409:D411)</f>
        <v>6207</v>
      </c>
      <c r="E408" s="86">
        <f t="shared" ref="E408:P408" si="104">SUM(E409:E411)</f>
        <v>5916</v>
      </c>
      <c r="F408" s="86">
        <f t="shared" si="104"/>
        <v>7053</v>
      </c>
      <c r="G408" s="86">
        <f t="shared" si="104"/>
        <v>8057</v>
      </c>
      <c r="H408" s="86">
        <f t="shared" si="104"/>
        <v>8547</v>
      </c>
      <c r="I408" s="86">
        <f t="shared" si="104"/>
        <v>8768</v>
      </c>
      <c r="J408" s="86">
        <f t="shared" si="104"/>
        <v>6858</v>
      </c>
      <c r="K408" s="86">
        <f t="shared" si="104"/>
        <v>5923</v>
      </c>
      <c r="L408" s="86">
        <f t="shared" si="104"/>
        <v>6106</v>
      </c>
      <c r="M408" s="86">
        <f t="shared" si="104"/>
        <v>5604</v>
      </c>
      <c r="N408" s="86">
        <f t="shared" si="104"/>
        <v>5907</v>
      </c>
      <c r="O408" s="86">
        <f t="shared" si="104"/>
        <v>7257</v>
      </c>
      <c r="P408" s="86">
        <f t="shared" si="104"/>
        <v>82203</v>
      </c>
    </row>
    <row r="409" spans="1:17" ht="9.9" hidden="1" customHeight="1" x14ac:dyDescent="0.25">
      <c r="A409"/>
      <c r="B409" s="88"/>
      <c r="C409" s="89" t="s">
        <v>26</v>
      </c>
      <c r="D409" s="90">
        <v>636</v>
      </c>
      <c r="E409" s="90">
        <v>486</v>
      </c>
      <c r="F409" s="90">
        <v>611</v>
      </c>
      <c r="G409" s="90">
        <v>960</v>
      </c>
      <c r="H409" s="90">
        <v>0</v>
      </c>
      <c r="I409" s="90">
        <v>0</v>
      </c>
      <c r="J409" s="90">
        <v>0</v>
      </c>
      <c r="K409" s="90">
        <v>0</v>
      </c>
      <c r="L409" s="90">
        <v>0</v>
      </c>
      <c r="M409" s="90">
        <v>0</v>
      </c>
      <c r="N409" s="90">
        <v>0</v>
      </c>
      <c r="O409" s="90">
        <v>0</v>
      </c>
      <c r="P409" s="91">
        <f>SUM(D409:O409)</f>
        <v>2693</v>
      </c>
    </row>
    <row r="410" spans="1:17" ht="9.9" hidden="1" customHeight="1" x14ac:dyDescent="0.25">
      <c r="A410"/>
      <c r="B410" s="88"/>
      <c r="C410" s="89" t="s">
        <v>53</v>
      </c>
      <c r="D410" s="125">
        <v>5035</v>
      </c>
      <c r="E410" s="125">
        <v>4839</v>
      </c>
      <c r="F410" s="125">
        <v>5906</v>
      </c>
      <c r="G410" s="90">
        <v>5788</v>
      </c>
      <c r="H410" s="90">
        <v>7972</v>
      </c>
      <c r="I410" s="90">
        <v>8002</v>
      </c>
      <c r="J410" s="90">
        <v>6341</v>
      </c>
      <c r="K410" s="90">
        <v>5528</v>
      </c>
      <c r="L410" s="90">
        <v>5717</v>
      </c>
      <c r="M410" s="90">
        <v>5179</v>
      </c>
      <c r="N410" s="90">
        <v>5581</v>
      </c>
      <c r="O410" s="90">
        <v>6318</v>
      </c>
      <c r="P410" s="91">
        <f>SUM(D410:O410)</f>
        <v>72206</v>
      </c>
    </row>
    <row r="411" spans="1:17" hidden="1" x14ac:dyDescent="0.25">
      <c r="A411"/>
      <c r="B411" s="92"/>
      <c r="C411" s="131" t="s">
        <v>57</v>
      </c>
      <c r="D411" s="125">
        <v>536</v>
      </c>
      <c r="E411" s="125">
        <v>591</v>
      </c>
      <c r="F411" s="125">
        <v>536</v>
      </c>
      <c r="G411" s="125">
        <v>1309</v>
      </c>
      <c r="H411" s="125">
        <v>575</v>
      </c>
      <c r="I411" s="125">
        <v>766</v>
      </c>
      <c r="J411" s="125">
        <v>517</v>
      </c>
      <c r="K411" s="125">
        <v>395</v>
      </c>
      <c r="L411" s="125">
        <v>389</v>
      </c>
      <c r="M411" s="125">
        <v>425</v>
      </c>
      <c r="N411" s="125">
        <v>326</v>
      </c>
      <c r="O411" s="93">
        <v>939</v>
      </c>
      <c r="P411" s="91">
        <f>SUM(D411:O411)</f>
        <v>7304</v>
      </c>
    </row>
    <row r="412" spans="1:17" ht="14.25" hidden="1" customHeight="1" x14ac:dyDescent="0.25">
      <c r="A412"/>
      <c r="B412" s="104"/>
      <c r="C412" s="97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9"/>
    </row>
    <row r="413" spans="1:17" ht="12.75" hidden="1" customHeight="1" x14ac:dyDescent="0.25">
      <c r="A413"/>
      <c r="B413" s="84" t="s">
        <v>74</v>
      </c>
      <c r="C413" s="85"/>
      <c r="D413" s="86">
        <f>SUM(D414:D415)</f>
        <v>493</v>
      </c>
      <c r="E413" s="86">
        <f t="shared" ref="E413:P413" si="105">SUM(E414:E415)</f>
        <v>1311</v>
      </c>
      <c r="F413" s="86">
        <f t="shared" si="105"/>
        <v>1250</v>
      </c>
      <c r="G413" s="86">
        <f t="shared" si="105"/>
        <v>755</v>
      </c>
      <c r="H413" s="86">
        <f t="shared" si="105"/>
        <v>765</v>
      </c>
      <c r="I413" s="86">
        <f t="shared" si="105"/>
        <v>761</v>
      </c>
      <c r="J413" s="86">
        <f t="shared" si="105"/>
        <v>945</v>
      </c>
      <c r="K413" s="86">
        <f t="shared" si="105"/>
        <v>667</v>
      </c>
      <c r="L413" s="86">
        <f t="shared" si="105"/>
        <v>384</v>
      </c>
      <c r="M413" s="86">
        <f t="shared" si="105"/>
        <v>725</v>
      </c>
      <c r="N413" s="86">
        <f t="shared" si="105"/>
        <v>1425</v>
      </c>
      <c r="O413" s="86">
        <f t="shared" si="105"/>
        <v>1667</v>
      </c>
      <c r="P413" s="87">
        <f t="shared" si="105"/>
        <v>11148</v>
      </c>
    </row>
    <row r="414" spans="1:17" ht="12.75" hidden="1" customHeight="1" x14ac:dyDescent="0.25">
      <c r="A414"/>
      <c r="B414" s="88"/>
      <c r="C414" s="89" t="s">
        <v>75</v>
      </c>
      <c r="D414" s="102">
        <v>0</v>
      </c>
      <c r="E414" s="102">
        <v>0</v>
      </c>
      <c r="F414" s="90">
        <v>0</v>
      </c>
      <c r="G414" s="103">
        <v>0</v>
      </c>
      <c r="H414" s="90">
        <v>0</v>
      </c>
      <c r="I414" s="100">
        <v>131</v>
      </c>
      <c r="J414" s="100">
        <v>574</v>
      </c>
      <c r="K414" s="90">
        <v>270</v>
      </c>
      <c r="L414" s="90">
        <v>156</v>
      </c>
      <c r="M414" s="90">
        <v>349</v>
      </c>
      <c r="N414" s="90">
        <v>1085</v>
      </c>
      <c r="O414" s="90">
        <v>1184</v>
      </c>
      <c r="P414" s="91">
        <f>SUM(D414:O414)</f>
        <v>3749</v>
      </c>
      <c r="Q414"/>
    </row>
    <row r="415" spans="1:17" ht="12.75" hidden="1" customHeight="1" x14ac:dyDescent="0.25">
      <c r="A415"/>
      <c r="B415" s="92"/>
      <c r="C415" s="89" t="s">
        <v>23</v>
      </c>
      <c r="D415" s="102">
        <v>493</v>
      </c>
      <c r="E415" s="102">
        <v>1311</v>
      </c>
      <c r="F415" s="90">
        <v>1250</v>
      </c>
      <c r="G415" s="103">
        <v>755</v>
      </c>
      <c r="H415" s="90">
        <v>765</v>
      </c>
      <c r="I415" s="100">
        <v>630</v>
      </c>
      <c r="J415" s="101">
        <v>371</v>
      </c>
      <c r="K415" s="93">
        <v>397</v>
      </c>
      <c r="L415" s="93">
        <v>228</v>
      </c>
      <c r="M415" s="93">
        <v>376</v>
      </c>
      <c r="N415" s="93">
        <v>340</v>
      </c>
      <c r="O415" s="93">
        <v>483</v>
      </c>
      <c r="P415" s="91">
        <f>SUM(D415:O415)</f>
        <v>7399</v>
      </c>
      <c r="Q415"/>
    </row>
    <row r="416" spans="1:17" ht="12.75" hidden="1" customHeight="1" x14ac:dyDescent="0.25">
      <c r="A416"/>
      <c r="Q416"/>
    </row>
    <row r="417" spans="1:18" ht="12.75" hidden="1" customHeight="1" thickBot="1" x14ac:dyDescent="0.3">
      <c r="A417"/>
      <c r="B417" s="18" t="s">
        <v>58</v>
      </c>
      <c r="C417" s="18"/>
      <c r="Q417"/>
    </row>
    <row r="418" spans="1:18" ht="12.75" hidden="1" customHeight="1" thickBot="1" x14ac:dyDescent="0.3">
      <c r="A418"/>
      <c r="B418" s="390" t="s">
        <v>1</v>
      </c>
      <c r="C418" s="391"/>
      <c r="D418" s="21">
        <v>1</v>
      </c>
      <c r="E418" s="22">
        <v>2</v>
      </c>
      <c r="F418" s="22">
        <v>3</v>
      </c>
      <c r="G418" s="22">
        <v>4</v>
      </c>
      <c r="H418" s="22">
        <v>5</v>
      </c>
      <c r="I418" s="22">
        <v>6</v>
      </c>
      <c r="J418" s="22">
        <v>7</v>
      </c>
      <c r="K418" s="22">
        <v>8</v>
      </c>
      <c r="L418" s="22">
        <v>9</v>
      </c>
      <c r="M418" s="22">
        <v>10</v>
      </c>
      <c r="N418" s="22">
        <v>11</v>
      </c>
      <c r="O418" s="22">
        <v>12</v>
      </c>
      <c r="P418" s="23" t="s">
        <v>0</v>
      </c>
      <c r="Q418"/>
    </row>
    <row r="419" spans="1:18" ht="12.75" hidden="1" customHeight="1" x14ac:dyDescent="0.25">
      <c r="A419"/>
      <c r="B419" s="398" t="s">
        <v>46</v>
      </c>
      <c r="C419" s="38" t="s">
        <v>21</v>
      </c>
      <c r="D419" s="39">
        <v>1056</v>
      </c>
      <c r="E419" s="40">
        <v>1340</v>
      </c>
      <c r="F419" s="39">
        <v>1733</v>
      </c>
      <c r="G419" s="40">
        <v>1476</v>
      </c>
      <c r="H419" s="40">
        <v>996</v>
      </c>
      <c r="I419" s="40">
        <v>1808</v>
      </c>
      <c r="J419" s="40">
        <v>1491</v>
      </c>
      <c r="K419" s="40">
        <v>1297</v>
      </c>
      <c r="L419" s="40">
        <v>1181</v>
      </c>
      <c r="M419" s="40">
        <v>1543</v>
      </c>
      <c r="N419" s="40">
        <v>1702</v>
      </c>
      <c r="O419" s="40">
        <v>2657</v>
      </c>
      <c r="P419" s="41">
        <f t="shared" ref="P419:P429" si="106">SUM(D419:O419)</f>
        <v>18280</v>
      </c>
      <c r="Q419"/>
    </row>
    <row r="420" spans="1:18" ht="12.75" hidden="1" customHeight="1" x14ac:dyDescent="0.25">
      <c r="A420"/>
      <c r="B420" s="399"/>
      <c r="C420" s="77" t="s">
        <v>22</v>
      </c>
      <c r="D420" s="78">
        <v>94</v>
      </c>
      <c r="E420" s="79">
        <v>108</v>
      </c>
      <c r="F420" s="78">
        <v>133</v>
      </c>
      <c r="G420" s="79">
        <v>120</v>
      </c>
      <c r="H420" s="79">
        <v>147</v>
      </c>
      <c r="I420" s="79">
        <v>145</v>
      </c>
      <c r="J420" s="79">
        <v>122</v>
      </c>
      <c r="K420" s="79">
        <v>107</v>
      </c>
      <c r="L420" s="81">
        <v>77</v>
      </c>
      <c r="M420" s="79">
        <v>86</v>
      </c>
      <c r="N420" s="79">
        <v>104</v>
      </c>
      <c r="O420" s="79">
        <v>117</v>
      </c>
      <c r="P420" s="80">
        <f t="shared" si="106"/>
        <v>1360</v>
      </c>
      <c r="Q420"/>
    </row>
    <row r="421" spans="1:18" ht="12.75" hidden="1" customHeight="1" x14ac:dyDescent="0.25">
      <c r="A421"/>
      <c r="B421" s="399"/>
      <c r="C421" s="77" t="s">
        <v>24</v>
      </c>
      <c r="D421" s="78">
        <v>4357</v>
      </c>
      <c r="E421" s="78">
        <v>6717</v>
      </c>
      <c r="F421" s="78">
        <v>7239</v>
      </c>
      <c r="G421" s="78">
        <v>7775</v>
      </c>
      <c r="H421" s="78">
        <v>6620</v>
      </c>
      <c r="I421" s="78">
        <v>7023</v>
      </c>
      <c r="J421" s="78">
        <v>6891</v>
      </c>
      <c r="K421" s="78">
        <v>8806</v>
      </c>
      <c r="L421" s="78">
        <v>8583</v>
      </c>
      <c r="M421" s="78">
        <v>12838</v>
      </c>
      <c r="N421" s="78">
        <v>10119</v>
      </c>
      <c r="O421" s="78">
        <v>13454</v>
      </c>
      <c r="P421" s="80">
        <f t="shared" si="106"/>
        <v>100422</v>
      </c>
      <c r="Q421"/>
    </row>
    <row r="422" spans="1:18" ht="12.75" hidden="1" customHeight="1" x14ac:dyDescent="0.25">
      <c r="A422"/>
      <c r="B422" s="399"/>
      <c r="C422" s="28" t="s">
        <v>3</v>
      </c>
      <c r="D422" s="29">
        <v>184</v>
      </c>
      <c r="E422" s="30">
        <v>350</v>
      </c>
      <c r="F422" s="29">
        <v>364</v>
      </c>
      <c r="G422" s="30">
        <v>295</v>
      </c>
      <c r="H422" s="30">
        <v>285</v>
      </c>
      <c r="I422" s="30">
        <v>317</v>
      </c>
      <c r="J422" s="30">
        <v>311</v>
      </c>
      <c r="K422" s="30">
        <v>233</v>
      </c>
      <c r="L422" s="32">
        <v>172</v>
      </c>
      <c r="M422" s="30">
        <v>170</v>
      </c>
      <c r="N422" s="30">
        <v>280</v>
      </c>
      <c r="O422" s="30">
        <v>331</v>
      </c>
      <c r="P422" s="80">
        <f t="shared" si="106"/>
        <v>3292</v>
      </c>
      <c r="Q422"/>
    </row>
    <row r="423" spans="1:18" ht="12.75" hidden="1" customHeight="1" x14ac:dyDescent="0.25">
      <c r="A423"/>
      <c r="B423" s="399"/>
      <c r="C423" s="75" t="s">
        <v>25</v>
      </c>
      <c r="D423" s="76">
        <v>6907</v>
      </c>
      <c r="E423" s="76">
        <v>7306</v>
      </c>
      <c r="F423" s="76">
        <v>8556</v>
      </c>
      <c r="G423" s="76">
        <v>8446</v>
      </c>
      <c r="H423" s="76">
        <v>9495</v>
      </c>
      <c r="I423" s="76">
        <v>9604</v>
      </c>
      <c r="J423" s="76">
        <v>8380</v>
      </c>
      <c r="K423" s="76">
        <v>8218</v>
      </c>
      <c r="L423" s="76">
        <v>8033</v>
      </c>
      <c r="M423" s="76">
        <v>10487</v>
      </c>
      <c r="N423" s="76">
        <v>10328</v>
      </c>
      <c r="O423" s="76">
        <v>12678</v>
      </c>
      <c r="P423" s="80">
        <f t="shared" si="106"/>
        <v>108438</v>
      </c>
      <c r="Q423"/>
    </row>
    <row r="424" spans="1:18" ht="12.75" hidden="1" customHeight="1" x14ac:dyDescent="0.25">
      <c r="A424"/>
      <c r="B424" s="399"/>
      <c r="C424" s="75" t="s">
        <v>44</v>
      </c>
      <c r="D424" s="76">
        <v>187</v>
      </c>
      <c r="E424" s="76">
        <v>192</v>
      </c>
      <c r="F424" s="76">
        <v>303</v>
      </c>
      <c r="G424" s="76">
        <v>188</v>
      </c>
      <c r="H424" s="76">
        <v>156</v>
      </c>
      <c r="I424" s="76">
        <v>153</v>
      </c>
      <c r="J424" s="76">
        <v>139</v>
      </c>
      <c r="K424" s="76">
        <v>103</v>
      </c>
      <c r="L424" s="76">
        <v>127</v>
      </c>
      <c r="M424" s="76">
        <v>142</v>
      </c>
      <c r="N424" s="76">
        <v>156</v>
      </c>
      <c r="O424" s="76">
        <v>197</v>
      </c>
      <c r="P424" s="80">
        <f t="shared" si="106"/>
        <v>2043</v>
      </c>
      <c r="Q424"/>
      <c r="R424" t="s">
        <v>63</v>
      </c>
    </row>
    <row r="425" spans="1:18" ht="12.75" hidden="1" customHeight="1" x14ac:dyDescent="0.25">
      <c r="A425"/>
      <c r="B425" s="399"/>
      <c r="C425" s="73" t="s">
        <v>27</v>
      </c>
      <c r="D425" s="74">
        <v>6513</v>
      </c>
      <c r="E425" s="74">
        <v>6369</v>
      </c>
      <c r="F425" s="74">
        <v>7037</v>
      </c>
      <c r="G425" s="74">
        <v>7911</v>
      </c>
      <c r="H425" s="74">
        <v>6609</v>
      </c>
      <c r="I425" s="74">
        <v>7150</v>
      </c>
      <c r="J425" s="74">
        <v>7044</v>
      </c>
      <c r="K425" s="74">
        <v>6062</v>
      </c>
      <c r="L425" s="74">
        <v>6273</v>
      </c>
      <c r="M425" s="74">
        <v>6834</v>
      </c>
      <c r="N425" s="74">
        <v>8180</v>
      </c>
      <c r="O425" s="74">
        <v>11200</v>
      </c>
      <c r="P425" s="80">
        <f t="shared" si="106"/>
        <v>87182</v>
      </c>
      <c r="Q425"/>
    </row>
    <row r="426" spans="1:18" ht="12.75" hidden="1" customHeight="1" x14ac:dyDescent="0.25">
      <c r="A426"/>
      <c r="B426" s="399"/>
      <c r="C426" s="128" t="s">
        <v>56</v>
      </c>
      <c r="D426" s="129">
        <v>1070</v>
      </c>
      <c r="E426" s="130">
        <v>1054</v>
      </c>
      <c r="F426" s="130">
        <v>866</v>
      </c>
      <c r="G426" s="130">
        <v>965</v>
      </c>
      <c r="H426" s="130">
        <v>504</v>
      </c>
      <c r="I426" s="130">
        <v>771</v>
      </c>
      <c r="J426" s="130">
        <v>612</v>
      </c>
      <c r="K426" s="130">
        <v>425</v>
      </c>
      <c r="L426" s="130">
        <v>821</v>
      </c>
      <c r="M426" s="129">
        <v>375</v>
      </c>
      <c r="N426" s="129">
        <v>598</v>
      </c>
      <c r="O426" s="129">
        <v>568</v>
      </c>
      <c r="P426" s="80">
        <f t="shared" si="106"/>
        <v>8629</v>
      </c>
      <c r="Q426"/>
    </row>
    <row r="427" spans="1:18" ht="12.75" hidden="1" customHeight="1" x14ac:dyDescent="0.25">
      <c r="A427"/>
      <c r="B427" s="399"/>
      <c r="C427" s="128" t="s">
        <v>4</v>
      </c>
      <c r="D427" s="129">
        <v>3268</v>
      </c>
      <c r="E427" s="130">
        <v>2402</v>
      </c>
      <c r="F427" s="130">
        <v>3535</v>
      </c>
      <c r="G427" s="130">
        <v>3365</v>
      </c>
      <c r="H427" s="130">
        <v>2830</v>
      </c>
      <c r="I427" s="130">
        <v>3160</v>
      </c>
      <c r="J427" s="130">
        <v>3070</v>
      </c>
      <c r="K427" s="130">
        <v>2593</v>
      </c>
      <c r="L427" s="130">
        <v>2823</v>
      </c>
      <c r="M427" s="129">
        <v>3248</v>
      </c>
      <c r="N427" s="129">
        <v>0</v>
      </c>
      <c r="O427" s="129">
        <v>0</v>
      </c>
      <c r="P427" s="80">
        <f t="shared" si="106"/>
        <v>30294</v>
      </c>
      <c r="Q427"/>
    </row>
    <row r="428" spans="1:18" ht="12.75" hidden="1" customHeight="1" x14ac:dyDescent="0.25">
      <c r="A428"/>
      <c r="B428" s="399"/>
      <c r="C428" s="33" t="s">
        <v>5</v>
      </c>
      <c r="D428" s="34">
        <v>29</v>
      </c>
      <c r="E428" s="32">
        <v>12</v>
      </c>
      <c r="F428" s="34">
        <v>19</v>
      </c>
      <c r="G428" s="32">
        <v>24</v>
      </c>
      <c r="H428" s="32">
        <v>27</v>
      </c>
      <c r="I428" s="32">
        <v>32</v>
      </c>
      <c r="J428" s="32">
        <v>8</v>
      </c>
      <c r="K428" s="32">
        <v>28</v>
      </c>
      <c r="L428" s="32">
        <v>14</v>
      </c>
      <c r="M428" s="32">
        <v>17</v>
      </c>
      <c r="N428" s="32">
        <v>19</v>
      </c>
      <c r="O428" s="32">
        <v>14</v>
      </c>
      <c r="P428" s="80">
        <f t="shared" si="106"/>
        <v>243</v>
      </c>
      <c r="Q428"/>
    </row>
    <row r="429" spans="1:18" ht="12.75" hidden="1" customHeight="1" x14ac:dyDescent="0.25">
      <c r="A429"/>
      <c r="B429" s="399"/>
      <c r="C429" s="33" t="s">
        <v>6</v>
      </c>
      <c r="D429" s="34">
        <v>921</v>
      </c>
      <c r="E429" s="32">
        <v>552</v>
      </c>
      <c r="F429" s="34">
        <v>598</v>
      </c>
      <c r="G429" s="32">
        <v>537</v>
      </c>
      <c r="H429" s="32">
        <v>457</v>
      </c>
      <c r="I429" s="32">
        <v>409</v>
      </c>
      <c r="J429" s="32">
        <v>226</v>
      </c>
      <c r="K429" s="32">
        <v>181</v>
      </c>
      <c r="L429" s="32">
        <v>196</v>
      </c>
      <c r="M429" s="32">
        <v>335</v>
      </c>
      <c r="N429" s="32">
        <v>267</v>
      </c>
      <c r="O429" s="32">
        <v>479</v>
      </c>
      <c r="P429" s="80">
        <f t="shared" si="106"/>
        <v>5158</v>
      </c>
      <c r="Q429"/>
    </row>
    <row r="430" spans="1:18" ht="12.75" hidden="1" customHeight="1" thickBot="1" x14ac:dyDescent="0.3">
      <c r="A430"/>
      <c r="B430" s="394"/>
      <c r="C430" s="42" t="s">
        <v>0</v>
      </c>
      <c r="D430" s="43">
        <f t="shared" ref="D430:P430" si="107">SUM(D419:D429)</f>
        <v>24586</v>
      </c>
      <c r="E430" s="43">
        <f t="shared" si="107"/>
        <v>26402</v>
      </c>
      <c r="F430" s="43">
        <f t="shared" si="107"/>
        <v>30383</v>
      </c>
      <c r="G430" s="43">
        <f t="shared" si="107"/>
        <v>31102</v>
      </c>
      <c r="H430" s="43">
        <f t="shared" si="107"/>
        <v>28126</v>
      </c>
      <c r="I430" s="43">
        <f t="shared" si="107"/>
        <v>30572</v>
      </c>
      <c r="J430" s="43">
        <f t="shared" si="107"/>
        <v>28294</v>
      </c>
      <c r="K430" s="43">
        <f t="shared" si="107"/>
        <v>28053</v>
      </c>
      <c r="L430" s="43">
        <f t="shared" si="107"/>
        <v>28300</v>
      </c>
      <c r="M430" s="43">
        <f t="shared" si="107"/>
        <v>36075</v>
      </c>
      <c r="N430" s="43">
        <f t="shared" si="107"/>
        <v>31753</v>
      </c>
      <c r="O430" s="43">
        <f t="shared" si="107"/>
        <v>41695</v>
      </c>
      <c r="P430" s="44">
        <f t="shared" si="107"/>
        <v>365341</v>
      </c>
      <c r="Q430"/>
    </row>
    <row r="431" spans="1:18" ht="12.75" hidden="1" customHeight="1" x14ac:dyDescent="0.25">
      <c r="A431"/>
      <c r="B431" s="396" t="s">
        <v>45</v>
      </c>
      <c r="C431" s="24" t="s">
        <v>60</v>
      </c>
      <c r="D431" s="25">
        <v>2621</v>
      </c>
      <c r="E431" s="26">
        <v>1751</v>
      </c>
      <c r="F431" s="26">
        <v>4389</v>
      </c>
      <c r="G431" s="26">
        <v>9255</v>
      </c>
      <c r="H431" s="26">
        <v>7270</v>
      </c>
      <c r="I431" s="26">
        <v>4929</v>
      </c>
      <c r="J431" s="26">
        <v>4209</v>
      </c>
      <c r="K431" s="26">
        <v>2920</v>
      </c>
      <c r="L431" s="26">
        <v>3237</v>
      </c>
      <c r="M431" s="26">
        <v>5574</v>
      </c>
      <c r="N431" s="26">
        <v>5520</v>
      </c>
      <c r="O431" s="26">
        <v>5736</v>
      </c>
      <c r="P431" s="41">
        <f>SUM(D431:O431)</f>
        <v>57411</v>
      </c>
      <c r="Q431"/>
    </row>
    <row r="432" spans="1:18" ht="12.75" hidden="1" customHeight="1" x14ac:dyDescent="0.25">
      <c r="A432"/>
      <c r="B432" s="396"/>
      <c r="C432" s="28" t="s">
        <v>8</v>
      </c>
      <c r="D432" s="29">
        <v>6689</v>
      </c>
      <c r="E432" s="30">
        <v>4892</v>
      </c>
      <c r="F432" s="30">
        <v>5815</v>
      </c>
      <c r="G432" s="30">
        <v>5679</v>
      </c>
      <c r="H432" s="30">
        <v>5458</v>
      </c>
      <c r="I432" s="30">
        <v>9073</v>
      </c>
      <c r="J432" s="30">
        <v>9942</v>
      </c>
      <c r="K432" s="30">
        <v>7957</v>
      </c>
      <c r="L432" s="30">
        <v>7568</v>
      </c>
      <c r="M432" s="30">
        <v>8787</v>
      </c>
      <c r="N432" s="30">
        <v>8879</v>
      </c>
      <c r="O432" s="30">
        <v>12189</v>
      </c>
      <c r="P432" s="80">
        <f>SUM(D432:O432)</f>
        <v>92928</v>
      </c>
      <c r="Q432"/>
    </row>
    <row r="433" spans="1:17" ht="12.75" hidden="1" customHeight="1" x14ac:dyDescent="0.25">
      <c r="A433"/>
      <c r="B433" s="396"/>
      <c r="C433" s="28" t="s">
        <v>55</v>
      </c>
      <c r="D433" s="29">
        <v>488</v>
      </c>
      <c r="E433" s="30">
        <v>273</v>
      </c>
      <c r="F433" s="30">
        <v>297</v>
      </c>
      <c r="G433" s="30">
        <v>237</v>
      </c>
      <c r="H433" s="30">
        <v>216</v>
      </c>
      <c r="I433" s="30">
        <v>267</v>
      </c>
      <c r="J433" s="30">
        <v>313</v>
      </c>
      <c r="K433" s="30">
        <v>258</v>
      </c>
      <c r="L433" s="30">
        <v>272</v>
      </c>
      <c r="M433" s="30">
        <v>314</v>
      </c>
      <c r="N433" s="30">
        <v>14</v>
      </c>
      <c r="O433" s="30">
        <v>0</v>
      </c>
      <c r="P433" s="80">
        <f>SUM(D433:O433)</f>
        <v>2949</v>
      </c>
      <c r="Q433"/>
    </row>
    <row r="434" spans="1:17" ht="12.75" hidden="1" customHeight="1" x14ac:dyDescent="0.25">
      <c r="A434"/>
      <c r="B434" s="396"/>
      <c r="C434" s="28" t="s">
        <v>51</v>
      </c>
      <c r="D434" s="29">
        <v>755</v>
      </c>
      <c r="E434" s="30">
        <v>694</v>
      </c>
      <c r="F434" s="30">
        <v>738</v>
      </c>
      <c r="G434" s="30">
        <v>667</v>
      </c>
      <c r="H434" s="30">
        <v>522</v>
      </c>
      <c r="I434" s="30">
        <v>572</v>
      </c>
      <c r="J434" s="30">
        <v>486</v>
      </c>
      <c r="K434" s="30">
        <v>419</v>
      </c>
      <c r="L434" s="30">
        <v>1101</v>
      </c>
      <c r="M434" s="30">
        <v>1617</v>
      </c>
      <c r="N434" s="30">
        <v>1500</v>
      </c>
      <c r="O434" s="30">
        <v>1435</v>
      </c>
      <c r="P434" s="31">
        <f>SUM(D434:O434)</f>
        <v>10506</v>
      </c>
      <c r="Q434"/>
    </row>
    <row r="435" spans="1:17" ht="12.75" hidden="1" customHeight="1" thickBot="1" x14ac:dyDescent="0.3">
      <c r="A435"/>
      <c r="B435" s="400"/>
      <c r="C435" s="35" t="s">
        <v>0</v>
      </c>
      <c r="D435" s="36">
        <f t="shared" ref="D435:P435" si="108">SUM(D431:D434)</f>
        <v>10553</v>
      </c>
      <c r="E435" s="36">
        <f t="shared" si="108"/>
        <v>7610</v>
      </c>
      <c r="F435" s="36">
        <f t="shared" si="108"/>
        <v>11239</v>
      </c>
      <c r="G435" s="36">
        <f t="shared" si="108"/>
        <v>15838</v>
      </c>
      <c r="H435" s="36">
        <f t="shared" si="108"/>
        <v>13466</v>
      </c>
      <c r="I435" s="36">
        <f t="shared" si="108"/>
        <v>14841</v>
      </c>
      <c r="J435" s="36">
        <f t="shared" si="108"/>
        <v>14950</v>
      </c>
      <c r="K435" s="36">
        <f t="shared" si="108"/>
        <v>11554</v>
      </c>
      <c r="L435" s="36">
        <f t="shared" si="108"/>
        <v>12178</v>
      </c>
      <c r="M435" s="36">
        <f t="shared" si="108"/>
        <v>16292</v>
      </c>
      <c r="N435" s="36">
        <f t="shared" si="108"/>
        <v>15913</v>
      </c>
      <c r="O435" s="36">
        <f t="shared" si="108"/>
        <v>19360</v>
      </c>
      <c r="P435" s="37">
        <f t="shared" si="108"/>
        <v>163794</v>
      </c>
      <c r="Q435"/>
    </row>
    <row r="436" spans="1:17" ht="12.75" hidden="1" customHeight="1" x14ac:dyDescent="0.25">
      <c r="A436"/>
      <c r="B436" s="392" t="s">
        <v>9</v>
      </c>
      <c r="C436" s="38" t="s">
        <v>11</v>
      </c>
      <c r="D436" s="39">
        <v>4103</v>
      </c>
      <c r="E436" s="40">
        <v>3733</v>
      </c>
      <c r="F436" s="40">
        <v>4771</v>
      </c>
      <c r="G436" s="40">
        <v>4647</v>
      </c>
      <c r="H436" s="40">
        <v>3714</v>
      </c>
      <c r="I436" s="40">
        <v>4972</v>
      </c>
      <c r="J436" s="40">
        <v>4802</v>
      </c>
      <c r="K436" s="40">
        <v>3182</v>
      </c>
      <c r="L436" s="40">
        <v>2985</v>
      </c>
      <c r="M436" s="40">
        <v>3802</v>
      </c>
      <c r="N436" s="40">
        <v>3857</v>
      </c>
      <c r="O436" s="40">
        <v>3816</v>
      </c>
      <c r="P436" s="41">
        <f>SUM(D436:O436)</f>
        <v>48384</v>
      </c>
      <c r="Q436"/>
    </row>
    <row r="437" spans="1:17" ht="12.75" hidden="1" customHeight="1" x14ac:dyDescent="0.25">
      <c r="A437"/>
      <c r="B437" s="393"/>
      <c r="C437" s="24" t="s">
        <v>12</v>
      </c>
      <c r="D437" s="25">
        <v>8860</v>
      </c>
      <c r="E437" s="26">
        <v>6873</v>
      </c>
      <c r="F437" s="26">
        <v>9117</v>
      </c>
      <c r="G437" s="26">
        <v>9455</v>
      </c>
      <c r="H437" s="26">
        <v>7378</v>
      </c>
      <c r="I437" s="26">
        <v>9957</v>
      </c>
      <c r="J437" s="26">
        <v>9525</v>
      </c>
      <c r="K437" s="26">
        <v>6234</v>
      </c>
      <c r="L437" s="26">
        <v>6430</v>
      </c>
      <c r="M437" s="26">
        <v>8978</v>
      </c>
      <c r="N437" s="26">
        <v>8520</v>
      </c>
      <c r="O437" s="26">
        <v>8416</v>
      </c>
      <c r="P437" s="27">
        <f>SUM(D437:O437)</f>
        <v>99743</v>
      </c>
      <c r="Q437"/>
    </row>
    <row r="438" spans="1:17" ht="12.75" hidden="1" customHeight="1" thickBot="1" x14ac:dyDescent="0.3">
      <c r="A438"/>
      <c r="B438" s="394"/>
      <c r="C438" s="42" t="s">
        <v>0</v>
      </c>
      <c r="D438" s="43">
        <f t="shared" ref="D438:L438" si="109">SUM(D436:D437)</f>
        <v>12963</v>
      </c>
      <c r="E438" s="43">
        <f t="shared" si="109"/>
        <v>10606</v>
      </c>
      <c r="F438" s="43">
        <f t="shared" si="109"/>
        <v>13888</v>
      </c>
      <c r="G438" s="43">
        <f t="shared" si="109"/>
        <v>14102</v>
      </c>
      <c r="H438" s="43">
        <f t="shared" si="109"/>
        <v>11092</v>
      </c>
      <c r="I438" s="43">
        <f t="shared" si="109"/>
        <v>14929</v>
      </c>
      <c r="J438" s="43">
        <f t="shared" si="109"/>
        <v>14327</v>
      </c>
      <c r="K438" s="43">
        <f t="shared" si="109"/>
        <v>9416</v>
      </c>
      <c r="L438" s="43">
        <f t="shared" si="109"/>
        <v>9415</v>
      </c>
      <c r="M438" s="43">
        <f>SUM(M436:M437)</f>
        <v>12780</v>
      </c>
      <c r="N438" s="43">
        <f>SUM(N436:N437)</f>
        <v>12377</v>
      </c>
      <c r="O438" s="43">
        <f>SUM(O436:O437)</f>
        <v>12232</v>
      </c>
      <c r="P438" s="44">
        <f>SUM(P436:P437)</f>
        <v>148127</v>
      </c>
      <c r="Q438"/>
    </row>
    <row r="439" spans="1:17" ht="12.75" hidden="1" customHeight="1" x14ac:dyDescent="0.25">
      <c r="A439"/>
      <c r="B439" s="392" t="s">
        <v>10</v>
      </c>
      <c r="C439" s="38" t="s">
        <v>13</v>
      </c>
      <c r="D439" s="39">
        <v>593</v>
      </c>
      <c r="E439" s="40">
        <v>693</v>
      </c>
      <c r="F439" s="40">
        <v>879</v>
      </c>
      <c r="G439" s="40">
        <v>868</v>
      </c>
      <c r="H439" s="40">
        <v>737</v>
      </c>
      <c r="I439" s="40">
        <v>757</v>
      </c>
      <c r="J439" s="40">
        <v>665</v>
      </c>
      <c r="K439" s="40">
        <v>626</v>
      </c>
      <c r="L439" s="40">
        <v>592</v>
      </c>
      <c r="M439" s="40">
        <v>729</v>
      </c>
      <c r="N439" s="40">
        <v>728</v>
      </c>
      <c r="O439" s="40">
        <v>728</v>
      </c>
      <c r="P439" s="41">
        <f>SUM(D439:O439)</f>
        <v>8595</v>
      </c>
      <c r="Q439"/>
    </row>
    <row r="440" spans="1:17" ht="12.75" hidden="1" customHeight="1" x14ac:dyDescent="0.25">
      <c r="A440"/>
      <c r="B440" s="393"/>
      <c r="C440" s="24" t="s">
        <v>14</v>
      </c>
      <c r="D440" s="25">
        <v>1718</v>
      </c>
      <c r="E440" s="26">
        <v>1548</v>
      </c>
      <c r="F440" s="26">
        <v>1576</v>
      </c>
      <c r="G440" s="26">
        <v>1140</v>
      </c>
      <c r="H440" s="26">
        <v>1569</v>
      </c>
      <c r="I440" s="26">
        <v>1703</v>
      </c>
      <c r="J440" s="26">
        <v>1721</v>
      </c>
      <c r="K440" s="26">
        <v>1449</v>
      </c>
      <c r="L440" s="26">
        <v>1469</v>
      </c>
      <c r="M440" s="26">
        <v>1931</v>
      </c>
      <c r="N440" s="26">
        <v>1738</v>
      </c>
      <c r="O440" s="26">
        <v>1543</v>
      </c>
      <c r="P440" s="27">
        <f>SUM(D440:O440)</f>
        <v>19105</v>
      </c>
      <c r="Q440"/>
    </row>
    <row r="441" spans="1:17" ht="4.5" hidden="1" customHeight="1" thickBot="1" x14ac:dyDescent="0.3">
      <c r="A441"/>
      <c r="B441" s="394"/>
      <c r="C441" s="42" t="s">
        <v>0</v>
      </c>
      <c r="D441" s="43">
        <f t="shared" ref="D441:I441" si="110">SUM(D439:D440)</f>
        <v>2311</v>
      </c>
      <c r="E441" s="43">
        <f t="shared" si="110"/>
        <v>2241</v>
      </c>
      <c r="F441" s="43">
        <f t="shared" si="110"/>
        <v>2455</v>
      </c>
      <c r="G441" s="43">
        <f t="shared" si="110"/>
        <v>2008</v>
      </c>
      <c r="H441" s="43">
        <f t="shared" si="110"/>
        <v>2306</v>
      </c>
      <c r="I441" s="43">
        <f t="shared" si="110"/>
        <v>2460</v>
      </c>
      <c r="J441" s="43">
        <f t="shared" ref="J441:P441" si="111">SUM(J439:J440)</f>
        <v>2386</v>
      </c>
      <c r="K441" s="43">
        <f t="shared" si="111"/>
        <v>2075</v>
      </c>
      <c r="L441" s="43">
        <f t="shared" si="111"/>
        <v>2061</v>
      </c>
      <c r="M441" s="43">
        <f t="shared" si="111"/>
        <v>2660</v>
      </c>
      <c r="N441" s="43">
        <f t="shared" si="111"/>
        <v>2466</v>
      </c>
      <c r="O441" s="43">
        <f t="shared" si="111"/>
        <v>2271</v>
      </c>
      <c r="P441" s="44">
        <f t="shared" si="111"/>
        <v>27700</v>
      </c>
      <c r="Q441"/>
    </row>
    <row r="442" spans="1:17" ht="13.5" hidden="1" customHeight="1" x14ac:dyDescent="0.25">
      <c r="A442"/>
      <c r="B442" s="401" t="s">
        <v>4</v>
      </c>
      <c r="C442" s="136" t="s">
        <v>66</v>
      </c>
      <c r="D442" s="134">
        <v>0</v>
      </c>
      <c r="E442" s="134">
        <v>0</v>
      </c>
      <c r="F442" s="134">
        <v>0</v>
      </c>
      <c r="G442" s="134">
        <v>0</v>
      </c>
      <c r="H442" s="134">
        <v>0</v>
      </c>
      <c r="I442" s="134">
        <v>0</v>
      </c>
      <c r="J442" s="134">
        <v>0</v>
      </c>
      <c r="K442" s="134">
        <v>0</v>
      </c>
      <c r="L442" s="134">
        <v>0</v>
      </c>
      <c r="M442" s="134">
        <v>0</v>
      </c>
      <c r="N442" s="134">
        <v>2657</v>
      </c>
      <c r="O442" s="134">
        <v>5972</v>
      </c>
      <c r="P442" s="135">
        <f>SUM(D442:O442)</f>
        <v>8629</v>
      </c>
    </row>
    <row r="443" spans="1:17" ht="9.9" hidden="1" customHeight="1" x14ac:dyDescent="0.25">
      <c r="A443"/>
      <c r="B443" s="402"/>
      <c r="C443" s="28" t="s">
        <v>65</v>
      </c>
      <c r="D443" s="29">
        <v>0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530</v>
      </c>
      <c r="P443" s="31">
        <f>SUM(D443:O443)</f>
        <v>530</v>
      </c>
    </row>
    <row r="444" spans="1:17" ht="9.9" hidden="1" customHeight="1" thickBot="1" x14ac:dyDescent="0.3">
      <c r="A444"/>
      <c r="B444" s="403"/>
      <c r="C444" s="42" t="s">
        <v>0</v>
      </c>
      <c r="D444" s="43">
        <f t="shared" ref="D444:M444" si="112">SUM(D443:D443)</f>
        <v>0</v>
      </c>
      <c r="E444" s="43">
        <f t="shared" si="112"/>
        <v>0</v>
      </c>
      <c r="F444" s="43">
        <f t="shared" si="112"/>
        <v>0</v>
      </c>
      <c r="G444" s="43">
        <f t="shared" si="112"/>
        <v>0</v>
      </c>
      <c r="H444" s="43">
        <f t="shared" si="112"/>
        <v>0</v>
      </c>
      <c r="I444" s="43">
        <f t="shared" si="112"/>
        <v>0</v>
      </c>
      <c r="J444" s="43">
        <f t="shared" si="112"/>
        <v>0</v>
      </c>
      <c r="K444" s="43">
        <f t="shared" si="112"/>
        <v>0</v>
      </c>
      <c r="L444" s="43">
        <f t="shared" si="112"/>
        <v>0</v>
      </c>
      <c r="M444" s="43">
        <f t="shared" si="112"/>
        <v>0</v>
      </c>
      <c r="N444" s="43">
        <v>2657</v>
      </c>
      <c r="O444" s="43">
        <f>SUM(O442:O443)</f>
        <v>6502</v>
      </c>
      <c r="P444" s="44">
        <f>SUM(P442:P443)</f>
        <v>9159</v>
      </c>
    </row>
    <row r="445" spans="1:17" ht="6" hidden="1" customHeight="1" thickBot="1" x14ac:dyDescent="0.3">
      <c r="A445"/>
      <c r="B445" s="404" t="s">
        <v>2</v>
      </c>
      <c r="C445" s="405"/>
      <c r="D445" s="45">
        <f>D430+D435+D441+D438+D444</f>
        <v>50413</v>
      </c>
      <c r="E445" s="45">
        <f t="shared" ref="E445:M445" si="113">E430+E435+E441+E438+E444</f>
        <v>46859</v>
      </c>
      <c r="F445" s="45">
        <f t="shared" si="113"/>
        <v>57965</v>
      </c>
      <c r="G445" s="45">
        <f t="shared" si="113"/>
        <v>63050</v>
      </c>
      <c r="H445" s="45">
        <f t="shared" si="113"/>
        <v>54990</v>
      </c>
      <c r="I445" s="45">
        <f t="shared" si="113"/>
        <v>62802</v>
      </c>
      <c r="J445" s="45">
        <f t="shared" si="113"/>
        <v>59957</v>
      </c>
      <c r="K445" s="45">
        <f t="shared" si="113"/>
        <v>51098</v>
      </c>
      <c r="L445" s="45">
        <f t="shared" si="113"/>
        <v>51954</v>
      </c>
      <c r="M445" s="45">
        <f t="shared" si="113"/>
        <v>67807</v>
      </c>
      <c r="N445" s="45">
        <f>N430+N435+N441+N438+N444</f>
        <v>65166</v>
      </c>
      <c r="O445" s="45">
        <f>O430+O435+O441+O438+O444</f>
        <v>82060</v>
      </c>
      <c r="P445" s="45">
        <f>SUM(P430,P435,P444,P438,P441)</f>
        <v>714121</v>
      </c>
      <c r="Q445" s="117"/>
    </row>
    <row r="446" spans="1:17" ht="13.5" hidden="1" customHeight="1" x14ac:dyDescent="0.25">
      <c r="A446"/>
      <c r="J446" s="118"/>
    </row>
    <row r="447" spans="1:17" ht="9.9" hidden="1" customHeight="1" x14ac:dyDescent="0.25">
      <c r="A447"/>
      <c r="B447" s="84" t="s">
        <v>24</v>
      </c>
      <c r="C447" s="85"/>
      <c r="D447" s="86">
        <f>SUM(D448:D449)</f>
        <v>4357</v>
      </c>
      <c r="E447" s="86">
        <f t="shared" ref="E447:O447" si="114">SUM(E448:E449)</f>
        <v>6717</v>
      </c>
      <c r="F447" s="86">
        <f t="shared" si="114"/>
        <v>7239</v>
      </c>
      <c r="G447" s="86">
        <f t="shared" si="114"/>
        <v>7775</v>
      </c>
      <c r="H447" s="86">
        <f t="shared" si="114"/>
        <v>6620</v>
      </c>
      <c r="I447" s="86">
        <f t="shared" si="114"/>
        <v>7023</v>
      </c>
      <c r="J447" s="86">
        <f t="shared" si="114"/>
        <v>6891</v>
      </c>
      <c r="K447" s="86">
        <f t="shared" si="114"/>
        <v>8806</v>
      </c>
      <c r="L447" s="86">
        <f t="shared" si="114"/>
        <v>8583</v>
      </c>
      <c r="M447" s="86">
        <f t="shared" si="114"/>
        <v>12838</v>
      </c>
      <c r="N447" s="86">
        <f t="shared" si="114"/>
        <v>10119</v>
      </c>
      <c r="O447" s="86">
        <f t="shared" si="114"/>
        <v>13454</v>
      </c>
      <c r="P447" s="87">
        <f>SUM(P448:P449)</f>
        <v>100422</v>
      </c>
    </row>
    <row r="448" spans="1:17" ht="9.9" hidden="1" customHeight="1" x14ac:dyDescent="0.25">
      <c r="A448"/>
      <c r="B448" s="88"/>
      <c r="C448" s="89" t="s">
        <v>28</v>
      </c>
      <c r="D448" s="102">
        <v>4357</v>
      </c>
      <c r="E448" s="102">
        <v>6717</v>
      </c>
      <c r="F448" s="90">
        <v>7239</v>
      </c>
      <c r="G448" s="103">
        <v>7775</v>
      </c>
      <c r="H448" s="90">
        <v>6620</v>
      </c>
      <c r="I448" s="100">
        <v>7023</v>
      </c>
      <c r="J448" s="100">
        <v>6891</v>
      </c>
      <c r="K448" s="90">
        <v>8806</v>
      </c>
      <c r="L448" s="90">
        <v>2916</v>
      </c>
      <c r="M448" s="90">
        <v>207</v>
      </c>
      <c r="N448" s="90">
        <v>19</v>
      </c>
      <c r="O448" s="90">
        <v>3</v>
      </c>
      <c r="P448" s="91">
        <f>SUM(D448:O448)</f>
        <v>58573</v>
      </c>
    </row>
    <row r="449" spans="1:17" ht="9.9" hidden="1" customHeight="1" x14ac:dyDescent="0.25">
      <c r="A449"/>
      <c r="B449" s="92"/>
      <c r="C449" s="89" t="s">
        <v>62</v>
      </c>
      <c r="D449" s="102">
        <v>0</v>
      </c>
      <c r="E449" s="102">
        <v>0</v>
      </c>
      <c r="F449" s="90">
        <v>0</v>
      </c>
      <c r="G449" s="103">
        <v>0</v>
      </c>
      <c r="H449" s="90">
        <v>0</v>
      </c>
      <c r="I449" s="100">
        <v>0</v>
      </c>
      <c r="J449" s="101">
        <v>0</v>
      </c>
      <c r="K449" s="93">
        <v>0</v>
      </c>
      <c r="L449" s="93">
        <v>5667</v>
      </c>
      <c r="M449" s="93">
        <v>12631</v>
      </c>
      <c r="N449" s="93">
        <v>10100</v>
      </c>
      <c r="O449" s="93">
        <v>13451</v>
      </c>
      <c r="P449" s="91">
        <f>SUM(D449:O449)</f>
        <v>41849</v>
      </c>
    </row>
    <row r="450" spans="1:17" ht="6" hidden="1" customHeight="1" x14ac:dyDescent="0.25">
      <c r="A450"/>
      <c r="G450" s="94"/>
      <c r="L450" s="94"/>
      <c r="P450" s="46"/>
      <c r="Q450"/>
    </row>
    <row r="451" spans="1:17" ht="13.5" hidden="1" customHeight="1" x14ac:dyDescent="0.25">
      <c r="A451"/>
      <c r="B451" s="95" t="s">
        <v>25</v>
      </c>
      <c r="C451" s="96"/>
      <c r="D451" s="86">
        <f t="shared" ref="D451:P451" si="115">SUM(D452:D454)</f>
        <v>6907</v>
      </c>
      <c r="E451" s="86">
        <f t="shared" si="115"/>
        <v>7306</v>
      </c>
      <c r="F451" s="86">
        <f t="shared" si="115"/>
        <v>8556</v>
      </c>
      <c r="G451" s="86">
        <f t="shared" si="115"/>
        <v>8446</v>
      </c>
      <c r="H451" s="86">
        <f t="shared" si="115"/>
        <v>9495</v>
      </c>
      <c r="I451" s="86">
        <f t="shared" si="115"/>
        <v>9604</v>
      </c>
      <c r="J451" s="86">
        <f t="shared" si="115"/>
        <v>8380</v>
      </c>
      <c r="K451" s="86">
        <f t="shared" si="115"/>
        <v>8218</v>
      </c>
      <c r="L451" s="86">
        <f t="shared" si="115"/>
        <v>8033</v>
      </c>
      <c r="M451" s="86">
        <f t="shared" si="115"/>
        <v>10487</v>
      </c>
      <c r="N451" s="86">
        <f t="shared" si="115"/>
        <v>10328</v>
      </c>
      <c r="O451" s="86">
        <f t="shared" si="115"/>
        <v>12678</v>
      </c>
      <c r="P451" s="86">
        <f t="shared" si="115"/>
        <v>108438</v>
      </c>
      <c r="Q451"/>
    </row>
    <row r="452" spans="1:17" ht="9.9" hidden="1" customHeight="1" x14ac:dyDescent="0.25">
      <c r="A452"/>
      <c r="B452" s="88"/>
      <c r="C452" s="89" t="s">
        <v>26</v>
      </c>
      <c r="D452" s="90">
        <v>895</v>
      </c>
      <c r="E452" s="90">
        <v>864</v>
      </c>
      <c r="F452" s="90">
        <v>913</v>
      </c>
      <c r="G452" s="90">
        <v>829</v>
      </c>
      <c r="H452" s="90">
        <v>727</v>
      </c>
      <c r="I452" s="90">
        <v>683</v>
      </c>
      <c r="J452" s="90">
        <v>608</v>
      </c>
      <c r="K452" s="90">
        <v>581</v>
      </c>
      <c r="L452" s="90">
        <v>626</v>
      </c>
      <c r="M452" s="90">
        <v>763</v>
      </c>
      <c r="N452" s="90">
        <v>586</v>
      </c>
      <c r="O452" s="90">
        <v>694</v>
      </c>
      <c r="P452" s="91">
        <f>SUM(D452:O452)</f>
        <v>8769</v>
      </c>
      <c r="Q452"/>
    </row>
    <row r="453" spans="1:17" ht="9.9" hidden="1" customHeight="1" x14ac:dyDescent="0.25">
      <c r="A453"/>
      <c r="B453" s="88"/>
      <c r="C453" s="89" t="s">
        <v>53</v>
      </c>
      <c r="D453" s="125">
        <v>4756</v>
      </c>
      <c r="E453" s="125">
        <v>5288</v>
      </c>
      <c r="F453" s="125">
        <v>6732</v>
      </c>
      <c r="G453" s="90">
        <v>6598</v>
      </c>
      <c r="H453" s="90">
        <v>7509</v>
      </c>
      <c r="I453" s="90">
        <v>7666</v>
      </c>
      <c r="J453" s="90">
        <v>6982</v>
      </c>
      <c r="K453" s="90">
        <v>6947</v>
      </c>
      <c r="L453" s="90">
        <v>6830</v>
      </c>
      <c r="M453" s="90">
        <v>9061</v>
      </c>
      <c r="N453" s="90">
        <v>8827</v>
      </c>
      <c r="O453" s="90">
        <v>10736</v>
      </c>
      <c r="P453" s="91">
        <f>SUM(D453:O453)</f>
        <v>87932</v>
      </c>
      <c r="Q453"/>
    </row>
    <row r="454" spans="1:17" ht="6" hidden="1" customHeight="1" x14ac:dyDescent="0.25">
      <c r="A454"/>
      <c r="B454" s="92"/>
      <c r="C454" s="131" t="s">
        <v>57</v>
      </c>
      <c r="D454" s="125">
        <v>1256</v>
      </c>
      <c r="E454" s="125">
        <v>1154</v>
      </c>
      <c r="F454" s="125">
        <v>911</v>
      </c>
      <c r="G454" s="125">
        <v>1019</v>
      </c>
      <c r="H454" s="125">
        <v>1259</v>
      </c>
      <c r="I454" s="125">
        <v>1255</v>
      </c>
      <c r="J454" s="125">
        <v>790</v>
      </c>
      <c r="K454" s="125">
        <v>690</v>
      </c>
      <c r="L454" s="125">
        <v>577</v>
      </c>
      <c r="M454" s="125">
        <v>663</v>
      </c>
      <c r="N454" s="125">
        <v>915</v>
      </c>
      <c r="O454" s="93">
        <v>1248</v>
      </c>
      <c r="P454" s="91">
        <f>SUM(D454:O454)</f>
        <v>11737</v>
      </c>
      <c r="Q454"/>
    </row>
    <row r="455" spans="1:17" ht="14.25" hidden="1" customHeight="1" x14ac:dyDescent="0.25">
      <c r="A455"/>
      <c r="B455" s="104"/>
      <c r="C455" s="97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9"/>
      <c r="Q455"/>
    </row>
    <row r="456" spans="1:17" ht="11.25" hidden="1" customHeight="1" x14ac:dyDescent="0.25">
      <c r="A456"/>
      <c r="B456" s="84" t="s">
        <v>27</v>
      </c>
      <c r="C456" s="85"/>
      <c r="D456" s="86">
        <f>SUM(D457:D458)</f>
        <v>6513</v>
      </c>
      <c r="E456" s="86">
        <f t="shared" ref="E456:O456" si="116">SUM(E457:E458)</f>
        <v>6369</v>
      </c>
      <c r="F456" s="86">
        <f t="shared" si="116"/>
        <v>7037</v>
      </c>
      <c r="G456" s="86">
        <f t="shared" si="116"/>
        <v>7911</v>
      </c>
      <c r="H456" s="86">
        <f t="shared" si="116"/>
        <v>6609</v>
      </c>
      <c r="I456" s="86">
        <f t="shared" si="116"/>
        <v>7150</v>
      </c>
      <c r="J456" s="86">
        <f t="shared" si="116"/>
        <v>7044</v>
      </c>
      <c r="K456" s="86">
        <f t="shared" si="116"/>
        <v>6062</v>
      </c>
      <c r="L456" s="86">
        <f t="shared" si="116"/>
        <v>6273</v>
      </c>
      <c r="M456" s="86">
        <f t="shared" si="116"/>
        <v>6834</v>
      </c>
      <c r="N456" s="86">
        <f t="shared" si="116"/>
        <v>8180</v>
      </c>
      <c r="O456" s="86">
        <f t="shared" si="116"/>
        <v>11200</v>
      </c>
      <c r="P456" s="87">
        <f>SUM(P457:P458)</f>
        <v>87182</v>
      </c>
      <c r="Q456"/>
    </row>
    <row r="457" spans="1:17" ht="11.25" hidden="1" customHeight="1" x14ac:dyDescent="0.25">
      <c r="A457"/>
      <c r="B457" s="88"/>
      <c r="C457" s="89" t="s">
        <v>52</v>
      </c>
      <c r="D457" s="102">
        <v>5559</v>
      </c>
      <c r="E457" s="102">
        <v>5625</v>
      </c>
      <c r="F457" s="90">
        <v>6225</v>
      </c>
      <c r="G457" s="103">
        <v>6931</v>
      </c>
      <c r="H457" s="90">
        <v>5847</v>
      </c>
      <c r="I457" s="100">
        <v>6211</v>
      </c>
      <c r="J457" s="100">
        <v>6174</v>
      </c>
      <c r="K457" s="90">
        <v>5431</v>
      </c>
      <c r="L457" s="90">
        <v>5616</v>
      </c>
      <c r="M457" s="90">
        <v>6010</v>
      </c>
      <c r="N457" s="90">
        <v>7053</v>
      </c>
      <c r="O457" s="90">
        <v>9641</v>
      </c>
      <c r="P457" s="91">
        <f>SUM(D457:O457)</f>
        <v>76323</v>
      </c>
      <c r="Q457"/>
    </row>
    <row r="458" spans="1:17" ht="11.4" hidden="1" customHeight="1" x14ac:dyDescent="0.25">
      <c r="A458"/>
      <c r="B458" s="92"/>
      <c r="C458" s="89" t="s">
        <v>23</v>
      </c>
      <c r="D458" s="102">
        <v>954</v>
      </c>
      <c r="E458" s="102">
        <v>744</v>
      </c>
      <c r="F458" s="90">
        <v>812</v>
      </c>
      <c r="G458" s="103">
        <v>980</v>
      </c>
      <c r="H458" s="90">
        <v>762</v>
      </c>
      <c r="I458" s="100">
        <v>939</v>
      </c>
      <c r="J458" s="101">
        <v>870</v>
      </c>
      <c r="K458" s="93">
        <v>631</v>
      </c>
      <c r="L458" s="93">
        <v>657</v>
      </c>
      <c r="M458" s="93">
        <v>824</v>
      </c>
      <c r="N458" s="93">
        <v>1127</v>
      </c>
      <c r="O458" s="93">
        <v>1559</v>
      </c>
      <c r="P458" s="91">
        <f>SUM(D458:O458)</f>
        <v>10859</v>
      </c>
      <c r="Q458"/>
    </row>
    <row r="459" spans="1:17" ht="7.2" hidden="1" customHeight="1" x14ac:dyDescent="0.25">
      <c r="A459"/>
      <c r="B459" s="104"/>
      <c r="C459" s="97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9"/>
    </row>
    <row r="460" spans="1:17" hidden="1" x14ac:dyDescent="0.25">
      <c r="A460"/>
      <c r="B460" s="84" t="s">
        <v>60</v>
      </c>
      <c r="C460" s="85"/>
      <c r="D460" s="86">
        <f>SUM(D461:D462)</f>
        <v>2621</v>
      </c>
      <c r="E460" s="86">
        <f t="shared" ref="E460:O460" si="117">SUM(E461:E462)</f>
        <v>1751</v>
      </c>
      <c r="F460" s="86">
        <f t="shared" si="117"/>
        <v>4389</v>
      </c>
      <c r="G460" s="86">
        <f t="shared" si="117"/>
        <v>9255</v>
      </c>
      <c r="H460" s="86">
        <f t="shared" si="117"/>
        <v>7270</v>
      </c>
      <c r="I460" s="86">
        <f t="shared" si="117"/>
        <v>4929</v>
      </c>
      <c r="J460" s="86">
        <f t="shared" si="117"/>
        <v>4209</v>
      </c>
      <c r="K460" s="86">
        <f t="shared" si="117"/>
        <v>2920</v>
      </c>
      <c r="L460" s="86">
        <f t="shared" si="117"/>
        <v>3237</v>
      </c>
      <c r="M460" s="86">
        <f t="shared" si="117"/>
        <v>5574</v>
      </c>
      <c r="N460" s="86">
        <f t="shared" si="117"/>
        <v>5520</v>
      </c>
      <c r="O460" s="86">
        <f t="shared" si="117"/>
        <v>5736</v>
      </c>
      <c r="P460" s="87">
        <f>SUM(P461:P462)</f>
        <v>57411</v>
      </c>
    </row>
    <row r="461" spans="1:17" ht="10.199999999999999" hidden="1" customHeight="1" x14ac:dyDescent="0.25">
      <c r="A461"/>
      <c r="B461" s="88"/>
      <c r="C461" s="89" t="s">
        <v>7</v>
      </c>
      <c r="D461" s="102">
        <v>2621</v>
      </c>
      <c r="E461" s="102">
        <v>1751</v>
      </c>
      <c r="F461" s="90">
        <v>1494</v>
      </c>
      <c r="G461" s="103">
        <v>618</v>
      </c>
      <c r="H461" s="90">
        <v>1075</v>
      </c>
      <c r="I461" s="100">
        <v>232</v>
      </c>
      <c r="J461" s="100">
        <v>4</v>
      </c>
      <c r="K461" s="90">
        <v>1</v>
      </c>
      <c r="L461" s="90">
        <v>17</v>
      </c>
      <c r="M461" s="90" t="s">
        <v>54</v>
      </c>
      <c r="N461" s="90">
        <v>0</v>
      </c>
      <c r="O461" s="90">
        <v>12</v>
      </c>
      <c r="P461" s="91">
        <f>SUM(D461:O461)</f>
        <v>7825</v>
      </c>
    </row>
    <row r="462" spans="1:17" ht="12" hidden="1" customHeight="1" x14ac:dyDescent="0.25">
      <c r="A462"/>
      <c r="B462" s="92"/>
      <c r="C462" s="89" t="s">
        <v>61</v>
      </c>
      <c r="D462" s="102" t="s">
        <v>54</v>
      </c>
      <c r="E462" s="102" t="s">
        <v>54</v>
      </c>
      <c r="F462" s="90">
        <v>2895</v>
      </c>
      <c r="G462" s="103">
        <v>8637</v>
      </c>
      <c r="H462" s="90">
        <v>6195</v>
      </c>
      <c r="I462" s="100">
        <v>4697</v>
      </c>
      <c r="J462" s="101">
        <v>4205</v>
      </c>
      <c r="K462" s="93">
        <v>2919</v>
      </c>
      <c r="L462" s="93">
        <v>3220</v>
      </c>
      <c r="M462" s="93">
        <v>5574</v>
      </c>
      <c r="N462" s="93">
        <v>5520</v>
      </c>
      <c r="O462" s="93">
        <v>5724</v>
      </c>
      <c r="P462" s="91">
        <f>SUM(D462:O462)</f>
        <v>49586</v>
      </c>
    </row>
    <row r="463" spans="1:17" hidden="1" x14ac:dyDescent="0.25">
      <c r="A463"/>
    </row>
  </sheetData>
  <mergeCells count="56">
    <mergeCell ref="B28:B34"/>
    <mergeCell ref="B4:C4"/>
    <mergeCell ref="B5:B11"/>
    <mergeCell ref="B12:B20"/>
    <mergeCell ref="B21:B24"/>
    <mergeCell ref="B25:B27"/>
    <mergeCell ref="B275:C275"/>
    <mergeCell ref="B276:B285"/>
    <mergeCell ref="B286:B292"/>
    <mergeCell ref="B293:B295"/>
    <mergeCell ref="B35:C35"/>
    <mergeCell ref="B102:B108"/>
    <mergeCell ref="B109:C109"/>
    <mergeCell ref="B245:C245"/>
    <mergeCell ref="B218:C218"/>
    <mergeCell ref="B219:B227"/>
    <mergeCell ref="B228:B234"/>
    <mergeCell ref="B235:B237"/>
    <mergeCell ref="B238:B240"/>
    <mergeCell ref="B241:B244"/>
    <mergeCell ref="B178:C178"/>
    <mergeCell ref="B149:C149"/>
    <mergeCell ref="B296:B298"/>
    <mergeCell ref="B299:B302"/>
    <mergeCell ref="B357:C357"/>
    <mergeCell ref="B331:C331"/>
    <mergeCell ref="B332:B341"/>
    <mergeCell ref="B342:B346"/>
    <mergeCell ref="B347:B349"/>
    <mergeCell ref="B350:B352"/>
    <mergeCell ref="B353:B356"/>
    <mergeCell ref="B303:C303"/>
    <mergeCell ref="B401:C401"/>
    <mergeCell ref="B398:B400"/>
    <mergeCell ref="B445:C445"/>
    <mergeCell ref="B418:C418"/>
    <mergeCell ref="B419:B430"/>
    <mergeCell ref="B431:B435"/>
    <mergeCell ref="B439:B441"/>
    <mergeCell ref="B436:B438"/>
    <mergeCell ref="B442:B444"/>
    <mergeCell ref="B375:C375"/>
    <mergeCell ref="B376:B387"/>
    <mergeCell ref="B388:B391"/>
    <mergeCell ref="B392:B394"/>
    <mergeCell ref="B395:B397"/>
    <mergeCell ref="B150:B158"/>
    <mergeCell ref="B159:B165"/>
    <mergeCell ref="B166:B168"/>
    <mergeCell ref="B169:B171"/>
    <mergeCell ref="B172:B177"/>
    <mergeCell ref="B78:C78"/>
    <mergeCell ref="B79:B85"/>
    <mergeCell ref="B86:B94"/>
    <mergeCell ref="B95:B98"/>
    <mergeCell ref="B99:B101"/>
  </mergeCells>
  <phoneticPr fontId="2" type="noConversion"/>
  <printOptions horizontalCentered="1"/>
  <pageMargins left="0.25" right="0.25" top="0.75" bottom="0.75" header="0.3" footer="0.3"/>
  <pageSetup paperSize="9" scale="88" orientation="portrait" r:id="rId1"/>
  <headerFooter alignWithMargins="0"/>
  <ignoredErrors>
    <ignoredError sqref="N158:O158 J158:M15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65"/>
  <sheetViews>
    <sheetView showGridLines="0" zoomScale="75" zoomScaleNormal="75" zoomScaleSheetLayoutView="100" workbookViewId="0">
      <pane ySplit="4" topLeftCell="A32" activePane="bottomLeft" state="frozen"/>
      <selection activeCell="O10" sqref="O10"/>
      <selection pane="bottomLeft" activeCell="O10" sqref="O10"/>
    </sheetView>
  </sheetViews>
  <sheetFormatPr defaultColWidth="8" defaultRowHeight="15.6" x14ac:dyDescent="0.25"/>
  <cols>
    <col min="1" max="1" width="2" style="50" customWidth="1"/>
    <col min="2" max="3" width="2.59765625" style="50" customWidth="1"/>
    <col min="4" max="4" width="10.8984375" style="50" customWidth="1"/>
    <col min="5" max="5" width="10.296875" style="50" customWidth="1"/>
    <col min="6" max="6" width="9" style="50" customWidth="1"/>
    <col min="7" max="7" width="8.59765625" style="51" customWidth="1"/>
    <col min="8" max="9" width="10.296875" style="50" customWidth="1"/>
    <col min="10" max="10" width="11.09765625" style="50" customWidth="1"/>
    <col min="11" max="11" width="9.59765625" style="50" customWidth="1"/>
    <col min="12" max="12" width="11.296875" style="50" bestFit="1" customWidth="1"/>
    <col min="13" max="13" width="11.8984375" style="50" customWidth="1"/>
    <col min="14" max="14" width="9.69921875" style="50" customWidth="1"/>
    <col min="15" max="18" width="8" style="50" customWidth="1"/>
    <col min="19" max="16384" width="8" style="50"/>
  </cols>
  <sheetData>
    <row r="1" spans="2:22" s="49" customFormat="1" ht="27.75" customHeight="1" x14ac:dyDescent="0.25">
      <c r="B1" s="413" t="s">
        <v>200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2:22" ht="5.25" customHeight="1" x14ac:dyDescent="0.25">
      <c r="F2" s="50" t="s">
        <v>17</v>
      </c>
    </row>
    <row r="3" spans="2:22" s="52" customFormat="1" ht="22.5" customHeight="1" x14ac:dyDescent="0.25">
      <c r="B3" s="415" t="s">
        <v>18</v>
      </c>
      <c r="C3" s="416"/>
      <c r="D3" s="416"/>
      <c r="E3" s="189" t="s">
        <v>193</v>
      </c>
      <c r="F3" s="190"/>
      <c r="G3" s="191"/>
      <c r="H3" s="337" t="s">
        <v>165</v>
      </c>
      <c r="I3" s="338" t="s">
        <v>193</v>
      </c>
      <c r="J3" s="419" t="s">
        <v>201</v>
      </c>
      <c r="K3" s="192"/>
      <c r="L3" s="421" t="s">
        <v>202</v>
      </c>
      <c r="N3" s="112"/>
    </row>
    <row r="4" spans="2:22" s="52" customFormat="1" ht="32.4" x14ac:dyDescent="0.25">
      <c r="B4" s="417"/>
      <c r="C4" s="418"/>
      <c r="D4" s="418"/>
      <c r="E4" s="137">
        <v>6</v>
      </c>
      <c r="F4" s="82" t="s">
        <v>59</v>
      </c>
      <c r="G4" s="83" t="s">
        <v>29</v>
      </c>
      <c r="H4" s="335">
        <f>E4</f>
        <v>6</v>
      </c>
      <c r="I4" s="336">
        <f>IF(E4=1,12,E4-1)</f>
        <v>5</v>
      </c>
      <c r="J4" s="420"/>
      <c r="K4" s="124" t="s">
        <v>30</v>
      </c>
      <c r="L4" s="422"/>
      <c r="N4" s="113"/>
      <c r="R4" s="113"/>
    </row>
    <row r="5" spans="2:22" ht="20.25" customHeight="1" x14ac:dyDescent="0.25">
      <c r="B5" s="425"/>
      <c r="C5" s="425"/>
      <c r="D5" s="56" t="s">
        <v>31</v>
      </c>
      <c r="E5" s="260">
        <v>29</v>
      </c>
      <c r="F5" s="219">
        <f t="shared" ref="F5:F36" si="0">(E5-H5)/H5</f>
        <v>-0.38297872340425532</v>
      </c>
      <c r="G5" s="220">
        <f>(E5-I5)/I5</f>
        <v>-0.14705882352941177</v>
      </c>
      <c r="H5" s="365">
        <v>47</v>
      </c>
      <c r="I5" s="365">
        <v>34</v>
      </c>
      <c r="J5" s="260">
        <v>162</v>
      </c>
      <c r="K5" s="221">
        <f t="shared" ref="K5:K38" si="1">(J5-L5)/L5</f>
        <v>-0.53179190751445082</v>
      </c>
      <c r="L5" s="364">
        <v>346</v>
      </c>
      <c r="M5" s="54"/>
      <c r="N5" s="114"/>
      <c r="R5" s="114"/>
    </row>
    <row r="6" spans="2:22" ht="20.25" customHeight="1" x14ac:dyDescent="0.25">
      <c r="B6" s="425"/>
      <c r="C6" s="425"/>
      <c r="D6" s="56" t="s">
        <v>24</v>
      </c>
      <c r="E6" s="260">
        <v>3310</v>
      </c>
      <c r="F6" s="219">
        <f t="shared" si="0"/>
        <v>-0.44583961158546792</v>
      </c>
      <c r="G6" s="220">
        <f t="shared" ref="G6:G36" si="2">(E6-I6)/I6</f>
        <v>-0.32696217974786501</v>
      </c>
      <c r="H6" s="365">
        <v>5973</v>
      </c>
      <c r="I6" s="365">
        <v>4918</v>
      </c>
      <c r="J6" s="260">
        <v>27636</v>
      </c>
      <c r="K6" s="221">
        <f t="shared" si="1"/>
        <v>-0.31291333101287855</v>
      </c>
      <c r="L6" s="362">
        <v>40222</v>
      </c>
      <c r="M6" s="54"/>
      <c r="N6" s="114"/>
      <c r="R6" s="114"/>
    </row>
    <row r="7" spans="2:22" ht="20.25" customHeight="1" x14ac:dyDescent="0.25">
      <c r="B7" s="425"/>
      <c r="C7" s="425"/>
      <c r="D7" s="56" t="s">
        <v>69</v>
      </c>
      <c r="E7" s="261">
        <v>0</v>
      </c>
      <c r="F7" s="219" t="e">
        <f t="shared" si="0"/>
        <v>#DIV/0!</v>
      </c>
      <c r="G7" s="220" t="e">
        <f t="shared" si="2"/>
        <v>#DIV/0!</v>
      </c>
      <c r="H7" s="307">
        <v>0</v>
      </c>
      <c r="I7" s="307">
        <v>0</v>
      </c>
      <c r="J7" s="261">
        <v>0</v>
      </c>
      <c r="K7" s="221">
        <f t="shared" si="1"/>
        <v>-1</v>
      </c>
      <c r="L7" s="372">
        <v>1</v>
      </c>
      <c r="M7" s="54"/>
      <c r="N7" s="114"/>
      <c r="R7" s="114"/>
    </row>
    <row r="8" spans="2:22" ht="20.25" customHeight="1" x14ac:dyDescent="0.25">
      <c r="B8" s="425"/>
      <c r="C8" s="425"/>
      <c r="D8" s="56" t="s">
        <v>32</v>
      </c>
      <c r="E8" s="261">
        <v>0</v>
      </c>
      <c r="F8" s="219" t="e">
        <f t="shared" si="0"/>
        <v>#DIV/0!</v>
      </c>
      <c r="G8" s="220" t="e">
        <f t="shared" si="2"/>
        <v>#DIV/0!</v>
      </c>
      <c r="H8" s="307">
        <v>0</v>
      </c>
      <c r="I8" s="307">
        <v>0</v>
      </c>
      <c r="J8" s="261">
        <v>0</v>
      </c>
      <c r="K8" s="221">
        <f t="shared" si="1"/>
        <v>-1</v>
      </c>
      <c r="L8" s="372">
        <v>1</v>
      </c>
      <c r="M8" s="54"/>
      <c r="N8" s="114"/>
      <c r="R8" s="114"/>
    </row>
    <row r="9" spans="2:22" ht="20.25" customHeight="1" x14ac:dyDescent="0.25">
      <c r="B9" s="425"/>
      <c r="C9" s="425"/>
      <c r="D9" s="57" t="s">
        <v>25</v>
      </c>
      <c r="E9" s="260">
        <v>4717</v>
      </c>
      <c r="F9" s="219">
        <f t="shared" si="0"/>
        <v>-0.23012893748979926</v>
      </c>
      <c r="G9" s="220">
        <f t="shared" si="2"/>
        <v>0.18220551378446115</v>
      </c>
      <c r="H9" s="365">
        <v>6127</v>
      </c>
      <c r="I9" s="365">
        <v>3990</v>
      </c>
      <c r="J9" s="260">
        <v>23401</v>
      </c>
      <c r="K9" s="221">
        <f t="shared" si="1"/>
        <v>-0.27678709398275492</v>
      </c>
      <c r="L9" s="362">
        <v>32357</v>
      </c>
      <c r="M9" s="54"/>
      <c r="N9" s="114"/>
      <c r="R9" s="114"/>
    </row>
    <row r="10" spans="2:22" ht="20.25" customHeight="1" x14ac:dyDescent="0.25">
      <c r="B10" s="425"/>
      <c r="C10" s="425"/>
      <c r="D10" s="58" t="s">
        <v>27</v>
      </c>
      <c r="E10" s="260">
        <v>7919</v>
      </c>
      <c r="F10" s="219">
        <f t="shared" si="0"/>
        <v>-0.16492671095644837</v>
      </c>
      <c r="G10" s="220">
        <f t="shared" si="2"/>
        <v>4.1699552749276503E-2</v>
      </c>
      <c r="H10" s="365">
        <v>9483</v>
      </c>
      <c r="I10" s="365">
        <v>7602</v>
      </c>
      <c r="J10" s="260">
        <v>33672</v>
      </c>
      <c r="K10" s="221">
        <f t="shared" si="1"/>
        <v>-0.36263486655309485</v>
      </c>
      <c r="L10" s="362">
        <v>52830</v>
      </c>
      <c r="M10" s="54"/>
      <c r="N10" s="114"/>
      <c r="R10" s="114"/>
    </row>
    <row r="11" spans="2:22" ht="20.25" customHeight="1" x14ac:dyDescent="0.25">
      <c r="B11" s="425"/>
      <c r="C11" s="423" t="s">
        <v>127</v>
      </c>
      <c r="D11" s="424"/>
      <c r="E11" s="262">
        <f>SUM(E5:E10)</f>
        <v>15975</v>
      </c>
      <c r="F11" s="223">
        <f t="shared" si="0"/>
        <v>-0.26144244105409153</v>
      </c>
      <c r="G11" s="224">
        <f t="shared" si="2"/>
        <v>-3.4393133462282399E-2</v>
      </c>
      <c r="H11" s="308">
        <f>SUM(H5:H10)</f>
        <v>21630</v>
      </c>
      <c r="I11" s="308">
        <f>SUM(I5:I10)</f>
        <v>16544</v>
      </c>
      <c r="J11" s="262">
        <f>SUM(J5:J10)</f>
        <v>84871</v>
      </c>
      <c r="K11" s="225">
        <f t="shared" si="1"/>
        <v>-0.32511907885843333</v>
      </c>
      <c r="L11" s="373">
        <f>SUM(L5:L10)</f>
        <v>125757</v>
      </c>
      <c r="M11" s="54"/>
      <c r="N11" s="114"/>
      <c r="R11" s="114"/>
      <c r="V11" s="114"/>
    </row>
    <row r="12" spans="2:22" ht="20.25" customHeight="1" x14ac:dyDescent="0.25">
      <c r="B12" s="425"/>
      <c r="C12" s="425"/>
      <c r="D12" s="56" t="s">
        <v>185</v>
      </c>
      <c r="E12" s="263">
        <v>4401</v>
      </c>
      <c r="F12" s="230" t="e">
        <f t="shared" si="0"/>
        <v>#DIV/0!</v>
      </c>
      <c r="G12" s="220">
        <f t="shared" si="2"/>
        <v>-2.2716946842344388E-4</v>
      </c>
      <c r="H12" s="371">
        <v>0</v>
      </c>
      <c r="I12" s="366">
        <v>4402</v>
      </c>
      <c r="J12" s="263">
        <v>23200</v>
      </c>
      <c r="K12" s="221" t="e">
        <f t="shared" ref="K12:K17" si="3">(J12-L12)/L12</f>
        <v>#DIV/0!</v>
      </c>
      <c r="L12" s="229">
        <v>0</v>
      </c>
      <c r="M12" s="54"/>
      <c r="N12" s="114"/>
      <c r="R12" s="114"/>
    </row>
    <row r="13" spans="2:22" ht="20.25" customHeight="1" x14ac:dyDescent="0.25">
      <c r="B13" s="425"/>
      <c r="C13" s="425"/>
      <c r="D13" s="56" t="s">
        <v>138</v>
      </c>
      <c r="E13" s="260">
        <v>896</v>
      </c>
      <c r="F13" s="230">
        <f t="shared" si="0"/>
        <v>-0.36812411847672777</v>
      </c>
      <c r="G13" s="230">
        <f t="shared" si="2"/>
        <v>0.15463917525773196</v>
      </c>
      <c r="H13" s="370">
        <v>1418</v>
      </c>
      <c r="I13" s="370">
        <v>776</v>
      </c>
      <c r="J13" s="260">
        <v>4675</v>
      </c>
      <c r="K13" s="221">
        <f t="shared" si="3"/>
        <v>-0.35535024820739108</v>
      </c>
      <c r="L13" s="362">
        <v>7252</v>
      </c>
      <c r="M13" s="54"/>
      <c r="N13" s="114"/>
      <c r="R13" s="114"/>
    </row>
    <row r="14" spans="2:22" ht="20.25" customHeight="1" x14ac:dyDescent="0.25">
      <c r="B14" s="425"/>
      <c r="C14" s="425"/>
      <c r="D14" s="56" t="s">
        <v>114</v>
      </c>
      <c r="E14" s="260">
        <v>758</v>
      </c>
      <c r="F14" s="230">
        <f t="shared" si="0"/>
        <v>0.18622848200312989</v>
      </c>
      <c r="G14" s="220">
        <f t="shared" si="2"/>
        <v>-1.3175230566534915E-3</v>
      </c>
      <c r="H14" s="365">
        <v>639</v>
      </c>
      <c r="I14" s="365">
        <v>759</v>
      </c>
      <c r="J14" s="260">
        <v>4451</v>
      </c>
      <c r="K14" s="221">
        <f t="shared" si="3"/>
        <v>-0.41186575052854124</v>
      </c>
      <c r="L14" s="362">
        <v>7568</v>
      </c>
      <c r="M14" s="54"/>
      <c r="N14" s="114"/>
      <c r="R14" s="114"/>
    </row>
    <row r="15" spans="2:22" ht="20.25" customHeight="1" x14ac:dyDescent="0.25">
      <c r="B15" s="425"/>
      <c r="C15" s="425"/>
      <c r="D15" s="56" t="s">
        <v>60</v>
      </c>
      <c r="E15" s="260">
        <v>2864</v>
      </c>
      <c r="F15" s="230">
        <f t="shared" si="0"/>
        <v>-0.1420011983223487</v>
      </c>
      <c r="G15" s="220">
        <f t="shared" si="2"/>
        <v>-0.23052122514777001</v>
      </c>
      <c r="H15" s="365">
        <v>3338</v>
      </c>
      <c r="I15" s="365">
        <v>3722</v>
      </c>
      <c r="J15" s="260">
        <v>19804</v>
      </c>
      <c r="K15" s="221">
        <f t="shared" si="3"/>
        <v>-0.30245500334613079</v>
      </c>
      <c r="L15" s="362">
        <v>28391</v>
      </c>
      <c r="M15" s="54"/>
      <c r="N15" s="114"/>
      <c r="R15" s="114"/>
    </row>
    <row r="16" spans="2:22" ht="20.25" customHeight="1" x14ac:dyDescent="0.25">
      <c r="B16" s="425"/>
      <c r="C16" s="425"/>
      <c r="D16" s="56" t="s">
        <v>173</v>
      </c>
      <c r="E16" s="260">
        <v>1507</v>
      </c>
      <c r="F16" s="230">
        <f t="shared" si="0"/>
        <v>-0.58903736023997821</v>
      </c>
      <c r="G16" s="220">
        <f t="shared" si="2"/>
        <v>-0.50654878847413232</v>
      </c>
      <c r="H16" s="365">
        <v>3667</v>
      </c>
      <c r="I16" s="365">
        <v>3054</v>
      </c>
      <c r="J16" s="260">
        <v>15103</v>
      </c>
      <c r="K16" s="221">
        <f t="shared" si="3"/>
        <v>1.6496491228070176</v>
      </c>
      <c r="L16" s="362">
        <v>5700</v>
      </c>
      <c r="M16" s="54"/>
      <c r="N16" s="114"/>
      <c r="R16" s="114"/>
    </row>
    <row r="17" spans="2:21" ht="20.25" customHeight="1" x14ac:dyDescent="0.25">
      <c r="B17" s="425"/>
      <c r="C17" s="425"/>
      <c r="D17" s="56" t="s">
        <v>125</v>
      </c>
      <c r="E17" s="260">
        <v>907</v>
      </c>
      <c r="F17" s="230">
        <f t="shared" si="0"/>
        <v>0.20772303595206393</v>
      </c>
      <c r="G17" s="220">
        <f t="shared" si="2"/>
        <v>-0.28582677165354331</v>
      </c>
      <c r="H17" s="365">
        <v>751</v>
      </c>
      <c r="I17" s="365">
        <v>1270</v>
      </c>
      <c r="J17" s="260">
        <v>4885</v>
      </c>
      <c r="K17" s="221">
        <f t="shared" si="3"/>
        <v>0.10620471014492754</v>
      </c>
      <c r="L17" s="362">
        <v>4416</v>
      </c>
      <c r="M17" s="54"/>
      <c r="N17" s="114"/>
      <c r="R17" s="114"/>
    </row>
    <row r="18" spans="2:21" ht="20.25" customHeight="1" x14ac:dyDescent="0.25">
      <c r="B18" s="425"/>
      <c r="C18" s="425"/>
      <c r="D18" s="56" t="s">
        <v>8</v>
      </c>
      <c r="E18" s="260">
        <v>2913</v>
      </c>
      <c r="F18" s="219">
        <f t="shared" si="0"/>
        <v>4.7841726618705033E-2</v>
      </c>
      <c r="G18" s="220">
        <f t="shared" si="2"/>
        <v>0.17601937828017764</v>
      </c>
      <c r="H18" s="365">
        <v>2780</v>
      </c>
      <c r="I18" s="365">
        <v>2477</v>
      </c>
      <c r="J18" s="260">
        <v>13086</v>
      </c>
      <c r="K18" s="221">
        <f t="shared" si="1"/>
        <v>-0.39759701698660405</v>
      </c>
      <c r="L18" s="362">
        <v>21723</v>
      </c>
      <c r="M18" s="54"/>
      <c r="N18" s="114"/>
      <c r="R18" s="114"/>
    </row>
    <row r="19" spans="2:21" ht="20.25" customHeight="1" x14ac:dyDescent="0.25">
      <c r="B19" s="425"/>
      <c r="C19" s="425"/>
      <c r="D19" s="58" t="s">
        <v>134</v>
      </c>
      <c r="E19" s="264">
        <v>5760</v>
      </c>
      <c r="F19" s="231">
        <f t="shared" si="0"/>
        <v>0.16035455278001612</v>
      </c>
      <c r="G19" s="232">
        <f t="shared" si="2"/>
        <v>0.40145985401459855</v>
      </c>
      <c r="H19" s="367">
        <v>4964</v>
      </c>
      <c r="I19" s="367">
        <v>4110</v>
      </c>
      <c r="J19" s="264">
        <v>27034</v>
      </c>
      <c r="K19" s="233">
        <f t="shared" si="1"/>
        <v>-8.4865102738566733E-2</v>
      </c>
      <c r="L19" s="363">
        <v>29541</v>
      </c>
      <c r="M19" s="54"/>
      <c r="N19" s="114"/>
      <c r="O19" s="126"/>
      <c r="R19" s="114"/>
    </row>
    <row r="20" spans="2:21" ht="20.25" customHeight="1" x14ac:dyDescent="0.25">
      <c r="B20" s="425"/>
      <c r="C20" s="423" t="s">
        <v>33</v>
      </c>
      <c r="D20" s="426"/>
      <c r="E20" s="265">
        <f>SUM(E12:E19)</f>
        <v>20006</v>
      </c>
      <c r="F20" s="230">
        <f t="shared" si="0"/>
        <v>0.13948852309620094</v>
      </c>
      <c r="G20" s="224">
        <f t="shared" si="2"/>
        <v>-2.7418570734078756E-2</v>
      </c>
      <c r="H20" s="368">
        <f>SUM(H13:H19)</f>
        <v>17557</v>
      </c>
      <c r="I20" s="368">
        <f>SUM(I12:I19)</f>
        <v>20570</v>
      </c>
      <c r="J20" s="265">
        <f>SUM(J12:J19)</f>
        <v>112238</v>
      </c>
      <c r="K20" s="221">
        <f t="shared" si="1"/>
        <v>7.3113365394728042E-2</v>
      </c>
      <c r="L20" s="374">
        <f>SUM(L13:L19)</f>
        <v>104591</v>
      </c>
      <c r="M20" s="54"/>
      <c r="N20" s="114"/>
      <c r="R20" s="114"/>
    </row>
    <row r="21" spans="2:21" ht="20.25" customHeight="1" x14ac:dyDescent="0.25">
      <c r="B21" s="59"/>
      <c r="C21" s="60"/>
      <c r="D21" s="53" t="s">
        <v>19</v>
      </c>
      <c r="E21" s="263">
        <v>0</v>
      </c>
      <c r="F21" s="226">
        <f t="shared" si="0"/>
        <v>-1</v>
      </c>
      <c r="G21" s="220" t="e">
        <f t="shared" si="2"/>
        <v>#DIV/0!</v>
      </c>
      <c r="H21" s="366">
        <v>99</v>
      </c>
      <c r="I21" s="366">
        <v>0</v>
      </c>
      <c r="J21" s="263">
        <v>0</v>
      </c>
      <c r="K21" s="228">
        <f t="shared" si="1"/>
        <v>-1</v>
      </c>
      <c r="L21" s="364">
        <v>7192</v>
      </c>
      <c r="M21" s="54"/>
      <c r="N21" s="114"/>
      <c r="R21" s="114"/>
    </row>
    <row r="22" spans="2:21" ht="20.25" customHeight="1" x14ac:dyDescent="0.25">
      <c r="B22" s="59"/>
      <c r="C22" s="61"/>
      <c r="D22" s="56" t="s">
        <v>174</v>
      </c>
      <c r="E22" s="260">
        <v>2451</v>
      </c>
      <c r="F22" s="230">
        <f t="shared" si="0"/>
        <v>-0.43052973977695169</v>
      </c>
      <c r="G22" s="220">
        <f t="shared" si="2"/>
        <v>-0.15888812628689086</v>
      </c>
      <c r="H22" s="365">
        <v>4304</v>
      </c>
      <c r="I22" s="365">
        <v>2914</v>
      </c>
      <c r="J22" s="260">
        <v>14715</v>
      </c>
      <c r="K22" s="221">
        <f t="shared" si="1"/>
        <v>0.9125292435664154</v>
      </c>
      <c r="L22" s="362">
        <v>7694</v>
      </c>
      <c r="M22" s="54"/>
      <c r="N22" s="114"/>
      <c r="R22" s="114"/>
    </row>
    <row r="23" spans="2:21" ht="20.25" customHeight="1" x14ac:dyDescent="0.25">
      <c r="B23" s="59"/>
      <c r="C23" s="55"/>
      <c r="D23" s="58" t="s">
        <v>20</v>
      </c>
      <c r="E23" s="266">
        <v>6980</v>
      </c>
      <c r="F23" s="231">
        <f t="shared" si="0"/>
        <v>-0.24196350999131191</v>
      </c>
      <c r="G23" s="232">
        <f t="shared" si="2"/>
        <v>-0.15893481142306301</v>
      </c>
      <c r="H23" s="367">
        <v>9208</v>
      </c>
      <c r="I23" s="367">
        <v>8299</v>
      </c>
      <c r="J23" s="266">
        <v>41848</v>
      </c>
      <c r="K23" s="233">
        <f t="shared" si="1"/>
        <v>-0.19694498282512329</v>
      </c>
      <c r="L23" s="363">
        <v>52111</v>
      </c>
      <c r="M23" s="54"/>
      <c r="N23" s="113"/>
      <c r="O23" s="52"/>
      <c r="P23" s="52"/>
      <c r="Q23" s="52"/>
      <c r="R23" s="113"/>
      <c r="S23" s="52"/>
      <c r="T23" s="52"/>
      <c r="U23" s="52"/>
    </row>
    <row r="24" spans="2:21" ht="20.25" customHeight="1" x14ac:dyDescent="0.25">
      <c r="B24" s="59"/>
      <c r="C24" s="423" t="s">
        <v>34</v>
      </c>
      <c r="D24" s="426"/>
      <c r="E24" s="265">
        <f>SUM(E21:E23)</f>
        <v>9431</v>
      </c>
      <c r="F24" s="230">
        <f t="shared" si="0"/>
        <v>-0.3071045477922269</v>
      </c>
      <c r="G24" s="220">
        <f t="shared" si="2"/>
        <v>-0.15892267903326496</v>
      </c>
      <c r="H24" s="368">
        <f>SUM(H21:H23)</f>
        <v>13611</v>
      </c>
      <c r="I24" s="368">
        <f>SUM(I21:I23)</f>
        <v>11213</v>
      </c>
      <c r="J24" s="265">
        <f>SUM(J21:J23)</f>
        <v>56563</v>
      </c>
      <c r="K24" s="221">
        <f t="shared" si="1"/>
        <v>-0.15573831664104362</v>
      </c>
      <c r="L24" s="374">
        <f>SUM(L21:L23)</f>
        <v>66997</v>
      </c>
      <c r="M24" s="54"/>
      <c r="N24" s="114"/>
      <c r="R24" s="114"/>
    </row>
    <row r="25" spans="2:21" ht="20.25" customHeight="1" x14ac:dyDescent="0.25">
      <c r="B25" s="59"/>
      <c r="C25" s="61"/>
      <c r="D25" s="62" t="s">
        <v>35</v>
      </c>
      <c r="E25" s="267">
        <v>560</v>
      </c>
      <c r="F25" s="226">
        <f t="shared" si="0"/>
        <v>0.1111111111111111</v>
      </c>
      <c r="G25" s="227">
        <f t="shared" si="2"/>
        <v>5.8601134215500943E-2</v>
      </c>
      <c r="H25" s="366">
        <v>504</v>
      </c>
      <c r="I25" s="366">
        <v>529</v>
      </c>
      <c r="J25" s="267">
        <v>2937</v>
      </c>
      <c r="K25" s="228">
        <f t="shared" si="1"/>
        <v>4.8554087825776505E-2</v>
      </c>
      <c r="L25" s="364">
        <v>2801</v>
      </c>
      <c r="M25" s="54"/>
      <c r="N25" s="48"/>
    </row>
    <row r="26" spans="2:21" ht="20.25" customHeight="1" x14ac:dyDescent="0.25">
      <c r="B26" s="59"/>
      <c r="C26" s="63"/>
      <c r="D26" s="64" t="s">
        <v>14</v>
      </c>
      <c r="E26" s="264">
        <v>2330</v>
      </c>
      <c r="F26" s="231">
        <f t="shared" si="0"/>
        <v>5.909090909090909E-2</v>
      </c>
      <c r="G26" s="232">
        <f t="shared" si="2"/>
        <v>2.058694699956198E-2</v>
      </c>
      <c r="H26" s="367">
        <v>2200</v>
      </c>
      <c r="I26" s="367">
        <v>2283</v>
      </c>
      <c r="J26" s="264">
        <v>10628</v>
      </c>
      <c r="K26" s="233">
        <f>(J26-L26)/L26</f>
        <v>-0.19722033386207419</v>
      </c>
      <c r="L26" s="363">
        <v>13239</v>
      </c>
      <c r="M26" s="54"/>
      <c r="N26" s="48"/>
    </row>
    <row r="27" spans="2:21" ht="20.25" customHeight="1" x14ac:dyDescent="0.25">
      <c r="B27" s="59"/>
      <c r="C27" s="423" t="s">
        <v>36</v>
      </c>
      <c r="D27" s="426"/>
      <c r="E27" s="260">
        <f>SUM(E25:E26)</f>
        <v>2890</v>
      </c>
      <c r="F27" s="230">
        <f t="shared" si="0"/>
        <v>6.8786982248520714E-2</v>
      </c>
      <c r="G27" s="220">
        <f t="shared" si="2"/>
        <v>2.7738264580369845E-2</v>
      </c>
      <c r="H27" s="365">
        <f>SUM(H25:H26)</f>
        <v>2704</v>
      </c>
      <c r="I27" s="365">
        <f>SUM(I25:I26)</f>
        <v>2812</v>
      </c>
      <c r="J27" s="260">
        <f>SUM(J25:J26)</f>
        <v>13565</v>
      </c>
      <c r="K27" s="221">
        <f t="shared" si="1"/>
        <v>-0.15430174563591023</v>
      </c>
      <c r="L27" s="362">
        <f>SUM(L25:L26)</f>
        <v>16040</v>
      </c>
      <c r="M27" s="54"/>
      <c r="N27" s="114"/>
    </row>
    <row r="28" spans="2:21" ht="20.25" customHeight="1" x14ac:dyDescent="0.25">
      <c r="B28" s="132"/>
      <c r="C28" s="133"/>
      <c r="D28" s="53" t="s">
        <v>116</v>
      </c>
      <c r="E28" s="263">
        <v>488</v>
      </c>
      <c r="F28" s="234">
        <f t="shared" si="0"/>
        <v>-0.48195329087048833</v>
      </c>
      <c r="G28" s="227">
        <f t="shared" si="2"/>
        <v>0.36694677871148457</v>
      </c>
      <c r="H28" s="366">
        <v>942</v>
      </c>
      <c r="I28" s="366">
        <v>357</v>
      </c>
      <c r="J28" s="263">
        <v>2848</v>
      </c>
      <c r="K28" s="228">
        <f>(J28-L28)/L28</f>
        <v>-0.35812485913905795</v>
      </c>
      <c r="L28" s="364">
        <v>4437</v>
      </c>
      <c r="M28" s="54"/>
      <c r="N28" s="114"/>
    </row>
    <row r="29" spans="2:21" ht="20.25" customHeight="1" x14ac:dyDescent="0.25">
      <c r="B29" s="132"/>
      <c r="C29" s="157"/>
      <c r="D29" s="56" t="s">
        <v>118</v>
      </c>
      <c r="E29" s="260">
        <v>3630</v>
      </c>
      <c r="F29" s="219">
        <f t="shared" si="0"/>
        <v>-0.32238193018480493</v>
      </c>
      <c r="G29" s="220">
        <f t="shared" si="2"/>
        <v>-0.16166281755196305</v>
      </c>
      <c r="H29" s="365">
        <v>5357</v>
      </c>
      <c r="I29" s="365">
        <v>4330</v>
      </c>
      <c r="J29" s="260">
        <v>26106</v>
      </c>
      <c r="K29" s="221">
        <f>(J29-L29)/L29</f>
        <v>-0.14591376038735851</v>
      </c>
      <c r="L29" s="362">
        <v>30566</v>
      </c>
      <c r="M29" s="54"/>
      <c r="N29" s="114"/>
    </row>
    <row r="30" spans="2:21" ht="20.25" customHeight="1" x14ac:dyDescent="0.25">
      <c r="B30" s="132"/>
      <c r="C30" s="61"/>
      <c r="D30" s="56" t="s">
        <v>132</v>
      </c>
      <c r="E30" s="260">
        <v>2456</v>
      </c>
      <c r="F30" s="230">
        <f t="shared" si="0"/>
        <v>5.1708542713567835</v>
      </c>
      <c r="G30" s="220">
        <f t="shared" si="2"/>
        <v>5.4529841133533707E-2</v>
      </c>
      <c r="H30" s="365">
        <v>398</v>
      </c>
      <c r="I30" s="365">
        <v>2329</v>
      </c>
      <c r="J30" s="260">
        <v>9962</v>
      </c>
      <c r="K30" s="221">
        <f>(J30-L30)/L30</f>
        <v>1.880023128071697</v>
      </c>
      <c r="L30" s="362">
        <v>3459</v>
      </c>
      <c r="M30" s="54"/>
      <c r="N30" s="114"/>
    </row>
    <row r="31" spans="2:21" ht="20.25" customHeight="1" x14ac:dyDescent="0.25">
      <c r="B31" s="132"/>
      <c r="C31" s="61"/>
      <c r="D31" s="56" t="s">
        <v>188</v>
      </c>
      <c r="E31" s="260">
        <v>670</v>
      </c>
      <c r="F31" s="230" t="e">
        <f t="shared" si="0"/>
        <v>#DIV/0!</v>
      </c>
      <c r="G31" s="220">
        <f t="shared" si="2"/>
        <v>-7.4585635359116026E-2</v>
      </c>
      <c r="H31" s="353">
        <v>0</v>
      </c>
      <c r="I31" s="365">
        <v>724</v>
      </c>
      <c r="J31" s="260">
        <v>3401</v>
      </c>
      <c r="K31" s="221" t="e">
        <f>(J31-L31)/L31</f>
        <v>#DIV/0!</v>
      </c>
      <c r="L31" s="222">
        <v>0</v>
      </c>
      <c r="M31" s="54"/>
      <c r="N31" s="114"/>
    </row>
    <row r="32" spans="2:21" ht="20.25" customHeight="1" x14ac:dyDescent="0.25">
      <c r="B32" s="132"/>
      <c r="C32" s="61"/>
      <c r="D32" s="56" t="s">
        <v>163</v>
      </c>
      <c r="E32" s="260">
        <v>2219</v>
      </c>
      <c r="F32" s="230">
        <f t="shared" si="0"/>
        <v>-0.46375060415659741</v>
      </c>
      <c r="G32" s="220">
        <f t="shared" si="2"/>
        <v>-0.22385449457852397</v>
      </c>
      <c r="H32" s="365">
        <v>4138</v>
      </c>
      <c r="I32" s="365">
        <v>2859</v>
      </c>
      <c r="J32" s="260">
        <v>14092</v>
      </c>
      <c r="K32" s="221">
        <f>(J32-L32)/L32</f>
        <v>-0.37923439496057443</v>
      </c>
      <c r="L32" s="362">
        <v>22701</v>
      </c>
      <c r="M32" s="54"/>
      <c r="N32" s="114"/>
    </row>
    <row r="33" spans="2:17" ht="20.25" customHeight="1" x14ac:dyDescent="0.25">
      <c r="B33" s="132"/>
      <c r="C33" s="61"/>
      <c r="D33" s="58" t="s">
        <v>150</v>
      </c>
      <c r="E33" s="266">
        <v>1745</v>
      </c>
      <c r="F33" s="271">
        <f t="shared" si="0"/>
        <v>-0.1570048309178744</v>
      </c>
      <c r="G33" s="232">
        <f t="shared" si="2"/>
        <v>6.7278287461773695E-2</v>
      </c>
      <c r="H33" s="367">
        <v>2070</v>
      </c>
      <c r="I33" s="367">
        <v>1635</v>
      </c>
      <c r="J33" s="266">
        <v>10750</v>
      </c>
      <c r="K33" s="233">
        <f t="shared" si="1"/>
        <v>-6.9022256863254527E-2</v>
      </c>
      <c r="L33" s="363">
        <v>11547</v>
      </c>
      <c r="M33" s="54"/>
      <c r="N33" s="114"/>
    </row>
    <row r="34" spans="2:17" ht="20.25" customHeight="1" x14ac:dyDescent="0.25">
      <c r="B34" s="132"/>
      <c r="C34" s="423" t="s">
        <v>64</v>
      </c>
      <c r="D34" s="426"/>
      <c r="E34" s="265">
        <f>SUM(E28:E33)</f>
        <v>11208</v>
      </c>
      <c r="F34" s="230">
        <f t="shared" si="0"/>
        <v>-0.1314994188299109</v>
      </c>
      <c r="G34" s="220">
        <f t="shared" si="2"/>
        <v>-8.3864639529180968E-2</v>
      </c>
      <c r="H34" s="368">
        <f>SUM(H28:H33)</f>
        <v>12905</v>
      </c>
      <c r="I34" s="368">
        <f>SUM(I28:I33)</f>
        <v>12234</v>
      </c>
      <c r="J34" s="265">
        <f>SUM(J28:J33)</f>
        <v>67159</v>
      </c>
      <c r="K34" s="221">
        <f t="shared" si="1"/>
        <v>-7.6344381790675292E-2</v>
      </c>
      <c r="L34" s="374">
        <f>SUM(L28:L33)</f>
        <v>72710</v>
      </c>
      <c r="M34" s="54"/>
      <c r="N34" s="114"/>
    </row>
    <row r="35" spans="2:17" ht="20.25" customHeight="1" x14ac:dyDescent="0.25">
      <c r="B35" s="164" t="s">
        <v>37</v>
      </c>
      <c r="C35" s="160"/>
      <c r="D35" s="161"/>
      <c r="E35" s="268">
        <f>SUM(E11,E20,E24,E27,E34)</f>
        <v>59510</v>
      </c>
      <c r="F35" s="162">
        <f t="shared" si="0"/>
        <v>-0.13005978920285935</v>
      </c>
      <c r="G35" s="163">
        <f t="shared" si="2"/>
        <v>-6.0956558786865067E-2</v>
      </c>
      <c r="H35" s="369">
        <f>SUM(H11,H20,H24,H27,H34)</f>
        <v>68407</v>
      </c>
      <c r="I35" s="369">
        <f>SUM(I11,I20,I24,I27,I34)</f>
        <v>63373</v>
      </c>
      <c r="J35" s="272">
        <f>SUM(J11,J20,J24,J27,J34)</f>
        <v>334396</v>
      </c>
      <c r="K35" s="163">
        <f>(J35-L35)/L35</f>
        <v>-0.13390227793677723</v>
      </c>
      <c r="L35" s="71">
        <f>SUM(L11,L20,L24,L27,L34)</f>
        <v>386095</v>
      </c>
      <c r="M35" s="54"/>
      <c r="N35" s="114"/>
      <c r="O35" s="114"/>
      <c r="P35" s="114"/>
      <c r="Q35" s="114"/>
    </row>
    <row r="36" spans="2:17" ht="20.25" customHeight="1" x14ac:dyDescent="0.25">
      <c r="B36" s="65" t="s">
        <v>38</v>
      </c>
      <c r="C36" s="66"/>
      <c r="D36" s="282"/>
      <c r="E36" s="278">
        <v>281024</v>
      </c>
      <c r="F36" s="279">
        <f t="shared" si="0"/>
        <v>-2.4980570667258797E-2</v>
      </c>
      <c r="G36" s="280">
        <f t="shared" si="2"/>
        <v>7.8952622283652005E-2</v>
      </c>
      <c r="H36" s="281">
        <v>288224</v>
      </c>
      <c r="I36" s="309">
        <v>260460</v>
      </c>
      <c r="J36" s="278">
        <v>1542797</v>
      </c>
      <c r="K36" s="280">
        <f>(J36-L36)/L36</f>
        <v>-6.2180792540225766E-2</v>
      </c>
      <c r="L36" s="281">
        <v>1645090</v>
      </c>
      <c r="M36" s="54"/>
      <c r="N36" s="114"/>
      <c r="O36" s="114"/>
      <c r="P36" s="114"/>
      <c r="Q36" s="114"/>
    </row>
    <row r="37" spans="2:17" s="69" customFormat="1" ht="4.5" customHeight="1" x14ac:dyDescent="0.25">
      <c r="B37" s="188"/>
      <c r="C37" s="67"/>
      <c r="D37" s="67"/>
      <c r="E37" s="269"/>
      <c r="F37" s="340"/>
      <c r="G37" s="340"/>
      <c r="H37" s="48"/>
      <c r="I37" s="310"/>
      <c r="J37" s="360"/>
      <c r="K37" s="361"/>
      <c r="L37" s="47"/>
      <c r="M37" s="68"/>
      <c r="N37" s="48"/>
    </row>
    <row r="38" spans="2:17" ht="30" customHeight="1" thickBot="1" x14ac:dyDescent="0.3">
      <c r="B38" s="65" t="s">
        <v>39</v>
      </c>
      <c r="C38" s="70"/>
      <c r="D38" s="66"/>
      <c r="E38" s="341">
        <f>SUM(E35:E36)</f>
        <v>340534</v>
      </c>
      <c r="F38" s="342">
        <f>(E38-H38)/H38</f>
        <v>-4.5136289329867567E-2</v>
      </c>
      <c r="G38" s="343">
        <f>(E38-I38)/I38</f>
        <v>5.1572878613359352E-2</v>
      </c>
      <c r="H38" s="71">
        <f>SUM(H35:H36)</f>
        <v>356631</v>
      </c>
      <c r="I38" s="344">
        <f>SUM(I35:I36)</f>
        <v>323833</v>
      </c>
      <c r="J38" s="341">
        <f>SUM(J35:J36)</f>
        <v>1877193</v>
      </c>
      <c r="K38" s="343">
        <f t="shared" si="1"/>
        <v>-7.5813872197756482E-2</v>
      </c>
      <c r="L38" s="71">
        <f>SUM(L35:L36)</f>
        <v>2031185</v>
      </c>
      <c r="M38" s="54"/>
      <c r="N38" s="114"/>
    </row>
    <row r="39" spans="2:17" ht="11.25" customHeight="1" x14ac:dyDescent="0.25">
      <c r="B39" s="72"/>
      <c r="C39" s="72"/>
      <c r="D39" s="72"/>
      <c r="L39" s="54"/>
    </row>
    <row r="40" spans="2:17" s="105" customFormat="1" ht="18.75" customHeight="1" thickBot="1" x14ac:dyDescent="0.3">
      <c r="B40" s="235" t="s">
        <v>161</v>
      </c>
      <c r="D40" s="236"/>
      <c r="F40" s="237"/>
      <c r="G40" s="238"/>
      <c r="K40" s="238"/>
    </row>
    <row r="41" spans="2:17" s="111" customFormat="1" ht="21" customHeight="1" x14ac:dyDescent="0.25">
      <c r="B41" s="438" t="s">
        <v>40</v>
      </c>
      <c r="C41" s="439"/>
      <c r="D41" s="439"/>
      <c r="E41" s="239" t="s">
        <v>193</v>
      </c>
      <c r="F41" s="442"/>
      <c r="G41" s="443"/>
      <c r="H41" s="330" t="s">
        <v>165</v>
      </c>
      <c r="I41" s="332" t="s">
        <v>194</v>
      </c>
      <c r="J41" s="444" t="s">
        <v>201</v>
      </c>
      <c r="K41" s="240"/>
      <c r="L41" s="436" t="s">
        <v>202</v>
      </c>
    </row>
    <row r="42" spans="2:17" s="111" customFormat="1" ht="21" customHeight="1" x14ac:dyDescent="0.25">
      <c r="B42" s="440"/>
      <c r="C42" s="441"/>
      <c r="D42" s="441"/>
      <c r="E42" s="241" t="s">
        <v>176</v>
      </c>
      <c r="F42" s="242" t="s">
        <v>41</v>
      </c>
      <c r="G42" s="243" t="s">
        <v>42</v>
      </c>
      <c r="H42" s="331" t="str">
        <f>E42</f>
        <v>6월</v>
      </c>
      <c r="I42" s="333" t="s">
        <v>175</v>
      </c>
      <c r="J42" s="445"/>
      <c r="K42" s="243" t="s">
        <v>43</v>
      </c>
      <c r="L42" s="437"/>
    </row>
    <row r="43" spans="2:17" s="108" customFormat="1" ht="21" customHeight="1" x14ac:dyDescent="0.25">
      <c r="B43" s="427" t="s">
        <v>23</v>
      </c>
      <c r="C43" s="428"/>
      <c r="D43" s="428"/>
      <c r="E43" s="351">
        <f>SUM(E44:E50)</f>
        <v>6620</v>
      </c>
      <c r="F43" s="244">
        <f t="shared" ref="F43:F50" si="4">(E43-H43)/H43</f>
        <v>0.30314960629921262</v>
      </c>
      <c r="G43" s="245">
        <f t="shared" ref="G43:G50" si="5">(E43-I43)/I43</f>
        <v>5.8353317346123104E-2</v>
      </c>
      <c r="H43" s="328">
        <f>SUM(H44:H50)</f>
        <v>5080</v>
      </c>
      <c r="I43" s="351">
        <f>SUM(I44:I50)</f>
        <v>6255</v>
      </c>
      <c r="J43" s="351">
        <f>SUM(J44:J50)</f>
        <v>30760</v>
      </c>
      <c r="K43" s="247">
        <f t="shared" ref="K43:K49" si="6">(J43-L43)/L43</f>
        <v>-7.2936164719550767E-3</v>
      </c>
      <c r="L43" s="246">
        <f>SUM(L44:L50)</f>
        <v>30986</v>
      </c>
      <c r="M43" s="107"/>
    </row>
    <row r="44" spans="2:17" s="108" customFormat="1" ht="18" customHeight="1" x14ac:dyDescent="0.25">
      <c r="B44" s="249"/>
      <c r="C44" s="412" t="s">
        <v>24</v>
      </c>
      <c r="D44" s="410"/>
      <c r="E44" s="349">
        <v>565</v>
      </c>
      <c r="F44" s="250">
        <f t="shared" si="4"/>
        <v>-0.29900744416873448</v>
      </c>
      <c r="G44" s="251">
        <f t="shared" si="5"/>
        <v>-0.11163522012578617</v>
      </c>
      <c r="H44" s="326">
        <v>806</v>
      </c>
      <c r="I44" s="349">
        <v>636</v>
      </c>
      <c r="J44" s="349">
        <v>3674</v>
      </c>
      <c r="K44" s="253">
        <f t="shared" si="6"/>
        <v>-9.9703583939638914E-3</v>
      </c>
      <c r="L44" s="359">
        <v>3711</v>
      </c>
      <c r="M44" s="107"/>
    </row>
    <row r="45" spans="2:17" s="108" customFormat="1" ht="18" customHeight="1" x14ac:dyDescent="0.25">
      <c r="B45" s="249"/>
      <c r="C45" s="412" t="s">
        <v>69</v>
      </c>
      <c r="D45" s="410"/>
      <c r="E45" s="349">
        <v>0</v>
      </c>
      <c r="F45" s="250" t="e">
        <f t="shared" si="4"/>
        <v>#DIV/0!</v>
      </c>
      <c r="G45" s="251" t="e">
        <f t="shared" si="5"/>
        <v>#DIV/0!</v>
      </c>
      <c r="H45" s="326">
        <v>0</v>
      </c>
      <c r="I45" s="349">
        <v>0</v>
      </c>
      <c r="J45" s="349">
        <v>0</v>
      </c>
      <c r="K45" s="253" t="e">
        <f t="shared" si="6"/>
        <v>#DIV/0!</v>
      </c>
      <c r="L45" s="359">
        <v>0</v>
      </c>
      <c r="M45" s="107"/>
    </row>
    <row r="46" spans="2:17" s="108" customFormat="1" ht="18" customHeight="1" x14ac:dyDescent="0.25">
      <c r="B46" s="249"/>
      <c r="C46" s="412" t="s">
        <v>25</v>
      </c>
      <c r="D46" s="410"/>
      <c r="E46" s="349">
        <v>629</v>
      </c>
      <c r="F46" s="250">
        <f t="shared" si="4"/>
        <v>-4.9848942598187312E-2</v>
      </c>
      <c r="G46" s="251">
        <f t="shared" si="5"/>
        <v>4.3760683760683765</v>
      </c>
      <c r="H46" s="326">
        <v>662</v>
      </c>
      <c r="I46" s="349">
        <v>117</v>
      </c>
      <c r="J46" s="349">
        <v>2432</v>
      </c>
      <c r="K46" s="253">
        <f t="shared" si="6"/>
        <v>-0.22448979591836735</v>
      </c>
      <c r="L46" s="359">
        <v>3136</v>
      </c>
      <c r="M46" s="107"/>
    </row>
    <row r="47" spans="2:17" s="108" customFormat="1" ht="18" customHeight="1" x14ac:dyDescent="0.25">
      <c r="B47" s="249"/>
      <c r="C47" s="412" t="s">
        <v>27</v>
      </c>
      <c r="D47" s="410"/>
      <c r="E47" s="349">
        <v>2825</v>
      </c>
      <c r="F47" s="250">
        <f t="shared" si="4"/>
        <v>6.4832265359969846E-2</v>
      </c>
      <c r="G47" s="251">
        <f t="shared" si="5"/>
        <v>8.2084225553176304E-3</v>
      </c>
      <c r="H47" s="326">
        <v>2653</v>
      </c>
      <c r="I47" s="349">
        <v>2802</v>
      </c>
      <c r="J47" s="349">
        <v>11761</v>
      </c>
      <c r="K47" s="253">
        <f t="shared" si="6"/>
        <v>-0.18047522820709358</v>
      </c>
      <c r="L47" s="359">
        <v>14351</v>
      </c>
      <c r="M47" s="107"/>
    </row>
    <row r="48" spans="2:17" s="108" customFormat="1" ht="18" customHeight="1" x14ac:dyDescent="0.25">
      <c r="B48" s="249"/>
      <c r="C48" s="412" t="s">
        <v>114</v>
      </c>
      <c r="D48" s="410"/>
      <c r="E48" s="349">
        <v>205</v>
      </c>
      <c r="F48" s="250">
        <f t="shared" si="4"/>
        <v>1.2282608695652173</v>
      </c>
      <c r="G48" s="251">
        <f t="shared" si="5"/>
        <v>0.51851851851851849</v>
      </c>
      <c r="H48" s="326">
        <v>92</v>
      </c>
      <c r="I48" s="349">
        <v>135</v>
      </c>
      <c r="J48" s="349">
        <v>1122</v>
      </c>
      <c r="K48" s="253">
        <f t="shared" si="6"/>
        <v>-0.18042366691015341</v>
      </c>
      <c r="L48" s="359">
        <v>1369</v>
      </c>
      <c r="M48" s="107"/>
    </row>
    <row r="49" spans="2:13" s="108" customFormat="1" ht="18" customHeight="1" x14ac:dyDescent="0.25">
      <c r="B49" s="249"/>
      <c r="C49" s="447" t="s">
        <v>60</v>
      </c>
      <c r="D49" s="448"/>
      <c r="E49" s="352">
        <v>1140</v>
      </c>
      <c r="F49" s="295">
        <f t="shared" si="4"/>
        <v>0.31487889273356401</v>
      </c>
      <c r="G49" s="285">
        <f t="shared" si="5"/>
        <v>-0.22131147540983606</v>
      </c>
      <c r="H49" s="329">
        <v>867</v>
      </c>
      <c r="I49" s="352">
        <v>1464</v>
      </c>
      <c r="J49" s="352">
        <v>5715</v>
      </c>
      <c r="K49" s="296">
        <f t="shared" si="6"/>
        <v>-0.32117828720750685</v>
      </c>
      <c r="L49" s="359">
        <v>8419</v>
      </c>
      <c r="M49" s="107"/>
    </row>
    <row r="50" spans="2:13" s="108" customFormat="1" ht="18" customHeight="1" x14ac:dyDescent="0.25">
      <c r="B50" s="254"/>
      <c r="C50" s="435" t="s">
        <v>8</v>
      </c>
      <c r="D50" s="433"/>
      <c r="E50" s="350">
        <v>1256</v>
      </c>
      <c r="F50" s="316" t="e">
        <f t="shared" si="4"/>
        <v>#DIV/0!</v>
      </c>
      <c r="G50" s="225">
        <f t="shared" si="5"/>
        <v>0.1407811080835604</v>
      </c>
      <c r="H50" s="327">
        <v>0</v>
      </c>
      <c r="I50" s="350">
        <v>1101</v>
      </c>
      <c r="J50" s="350">
        <v>6056</v>
      </c>
      <c r="K50" s="319" t="e">
        <f>(J50-L50)/L50</f>
        <v>#DIV/0!</v>
      </c>
      <c r="L50" s="255">
        <v>0</v>
      </c>
      <c r="M50" s="107"/>
    </row>
    <row r="51" spans="2:13" s="108" customFormat="1" ht="4.5" customHeight="1" x14ac:dyDescent="0.25">
      <c r="B51" s="106"/>
      <c r="C51" s="109"/>
      <c r="D51" s="110"/>
      <c r="E51" s="293"/>
      <c r="F51" s="317"/>
      <c r="G51" s="317"/>
      <c r="H51" s="334"/>
      <c r="I51" s="293"/>
      <c r="J51" s="293"/>
      <c r="K51" s="317"/>
      <c r="L51" s="257"/>
      <c r="M51" s="107"/>
    </row>
    <row r="52" spans="2:13" s="108" customFormat="1" ht="21" customHeight="1" x14ac:dyDescent="0.25">
      <c r="B52" s="427" t="s">
        <v>75</v>
      </c>
      <c r="C52" s="428"/>
      <c r="D52" s="428"/>
      <c r="E52" s="348">
        <f>SUM(E53:E59)</f>
        <v>5039</v>
      </c>
      <c r="F52" s="318">
        <f t="shared" ref="F52:F59" si="7">(E52-H52)/H52</f>
        <v>-3.4859222371193259E-2</v>
      </c>
      <c r="G52" s="247">
        <f t="shared" ref="G52:G59" si="8">(E52-I52)/I52</f>
        <v>-0.27002752426481241</v>
      </c>
      <c r="H52" s="324">
        <f>SUM(H53:H59)</f>
        <v>5221</v>
      </c>
      <c r="I52" s="348">
        <f>SUM(I53:I59)</f>
        <v>6903</v>
      </c>
      <c r="J52" s="348">
        <f>SUM(J53:J59)</f>
        <v>31672</v>
      </c>
      <c r="K52" s="247">
        <f t="shared" ref="K52:K59" si="9">(J52-L52)/L52</f>
        <v>1.0193828105075236</v>
      </c>
      <c r="L52" s="294">
        <f>SUM(L53:L59)</f>
        <v>15684</v>
      </c>
      <c r="M52" s="107"/>
    </row>
    <row r="53" spans="2:13" s="108" customFormat="1" ht="18" customHeight="1" x14ac:dyDescent="0.25">
      <c r="B53" s="249"/>
      <c r="C53" s="412" t="s">
        <v>69</v>
      </c>
      <c r="D53" s="410"/>
      <c r="E53" s="349">
        <v>0</v>
      </c>
      <c r="F53" s="250" t="e">
        <f t="shared" si="7"/>
        <v>#DIV/0!</v>
      </c>
      <c r="G53" s="311" t="e">
        <f t="shared" si="8"/>
        <v>#DIV/0!</v>
      </c>
      <c r="H53" s="325">
        <v>0</v>
      </c>
      <c r="I53" s="349">
        <v>0</v>
      </c>
      <c r="J53" s="349">
        <v>0</v>
      </c>
      <c r="K53" s="253">
        <f t="shared" si="9"/>
        <v>-1</v>
      </c>
      <c r="L53" s="339">
        <v>1</v>
      </c>
      <c r="M53" s="107"/>
    </row>
    <row r="54" spans="2:13" s="108" customFormat="1" ht="18" customHeight="1" x14ac:dyDescent="0.25">
      <c r="B54" s="249"/>
      <c r="C54" s="410" t="s">
        <v>173</v>
      </c>
      <c r="D54" s="446"/>
      <c r="E54" s="349">
        <v>1507</v>
      </c>
      <c r="F54" s="250">
        <f t="shared" si="7"/>
        <v>-0.58903736023997821</v>
      </c>
      <c r="G54" s="251">
        <f t="shared" si="8"/>
        <v>-0.50654878847413232</v>
      </c>
      <c r="H54" s="326">
        <v>3667</v>
      </c>
      <c r="I54" s="349">
        <v>3054</v>
      </c>
      <c r="J54" s="349">
        <v>15103</v>
      </c>
      <c r="K54" s="253">
        <f t="shared" si="9"/>
        <v>1.6496491228070176</v>
      </c>
      <c r="L54" s="252">
        <v>5700</v>
      </c>
      <c r="M54" s="107"/>
    </row>
    <row r="55" spans="2:13" s="108" customFormat="1" ht="18" customHeight="1" x14ac:dyDescent="0.25">
      <c r="B55" s="249"/>
      <c r="C55" s="410" t="s">
        <v>179</v>
      </c>
      <c r="D55" s="411"/>
      <c r="E55" s="349">
        <v>408</v>
      </c>
      <c r="F55" s="250" t="e">
        <f t="shared" si="7"/>
        <v>#DIV/0!</v>
      </c>
      <c r="G55" s="251">
        <f t="shared" si="8"/>
        <v>0.21428571428571427</v>
      </c>
      <c r="H55" s="326">
        <v>0</v>
      </c>
      <c r="I55" s="349">
        <v>336</v>
      </c>
      <c r="J55" s="349">
        <v>1591</v>
      </c>
      <c r="K55" s="253" t="e">
        <f t="shared" si="9"/>
        <v>#DIV/0!</v>
      </c>
      <c r="L55" s="252">
        <v>0</v>
      </c>
      <c r="M55" s="107"/>
    </row>
    <row r="56" spans="2:13" s="108" customFormat="1" ht="18" customHeight="1" x14ac:dyDescent="0.25">
      <c r="B56" s="249"/>
      <c r="C56" s="410" t="s">
        <v>188</v>
      </c>
      <c r="D56" s="411"/>
      <c r="E56" s="349">
        <v>670</v>
      </c>
      <c r="F56" s="250" t="e">
        <f t="shared" si="7"/>
        <v>#DIV/0!</v>
      </c>
      <c r="G56" s="251">
        <f t="shared" si="8"/>
        <v>-7.4585635359116026E-2</v>
      </c>
      <c r="H56" s="326">
        <v>0</v>
      </c>
      <c r="I56" s="349">
        <v>724</v>
      </c>
      <c r="J56" s="349">
        <v>3401</v>
      </c>
      <c r="K56" s="253" t="e">
        <f t="shared" si="9"/>
        <v>#DIV/0!</v>
      </c>
      <c r="L56" s="252">
        <v>0</v>
      </c>
      <c r="M56" s="107"/>
    </row>
    <row r="57" spans="2:13" s="108" customFormat="1" ht="18" customHeight="1" x14ac:dyDescent="0.25">
      <c r="B57" s="249"/>
      <c r="C57" s="410" t="s">
        <v>163</v>
      </c>
      <c r="D57" s="411"/>
      <c r="E57" s="349">
        <v>485</v>
      </c>
      <c r="F57" s="250" t="e">
        <f t="shared" si="7"/>
        <v>#DIV/0!</v>
      </c>
      <c r="G57" s="251">
        <f t="shared" si="8"/>
        <v>-0.10845588235294118</v>
      </c>
      <c r="H57" s="326">
        <v>0</v>
      </c>
      <c r="I57" s="349">
        <v>544</v>
      </c>
      <c r="J57" s="349">
        <v>1537</v>
      </c>
      <c r="K57" s="253" t="e">
        <f t="shared" si="9"/>
        <v>#DIV/0!</v>
      </c>
      <c r="L57" s="252">
        <v>0</v>
      </c>
      <c r="M57" s="107"/>
    </row>
    <row r="58" spans="2:13" s="108" customFormat="1" ht="18" customHeight="1" x14ac:dyDescent="0.25">
      <c r="B58" s="249"/>
      <c r="C58" s="412" t="s">
        <v>114</v>
      </c>
      <c r="D58" s="410"/>
      <c r="E58" s="349">
        <v>0</v>
      </c>
      <c r="F58" s="250" t="e">
        <f t="shared" si="7"/>
        <v>#DIV/0!</v>
      </c>
      <c r="G58" s="251" t="e">
        <f t="shared" si="8"/>
        <v>#DIV/0!</v>
      </c>
      <c r="H58" s="326">
        <v>0</v>
      </c>
      <c r="I58" s="349">
        <v>0</v>
      </c>
      <c r="J58" s="349">
        <v>0</v>
      </c>
      <c r="K58" s="253">
        <f t="shared" si="9"/>
        <v>-1</v>
      </c>
      <c r="L58" s="252">
        <v>1429</v>
      </c>
      <c r="M58" s="107"/>
    </row>
    <row r="59" spans="2:13" s="108" customFormat="1" ht="18" customHeight="1" x14ac:dyDescent="0.25">
      <c r="B59" s="254"/>
      <c r="C59" s="435" t="s">
        <v>12</v>
      </c>
      <c r="D59" s="433"/>
      <c r="E59" s="350">
        <v>1969</v>
      </c>
      <c r="F59" s="316">
        <f t="shared" si="7"/>
        <v>0.26705276705276704</v>
      </c>
      <c r="G59" s="225">
        <f t="shared" si="8"/>
        <v>-0.12293986636971047</v>
      </c>
      <c r="H59" s="327">
        <v>1554</v>
      </c>
      <c r="I59" s="350">
        <v>2245</v>
      </c>
      <c r="J59" s="350">
        <v>10040</v>
      </c>
      <c r="K59" s="319">
        <f t="shared" si="9"/>
        <v>0.17371989712415245</v>
      </c>
      <c r="L59" s="255">
        <v>8554</v>
      </c>
      <c r="M59" s="107"/>
    </row>
    <row r="60" spans="2:13" s="108" customFormat="1" ht="4.5" customHeight="1" x14ac:dyDescent="0.25">
      <c r="B60" s="106"/>
      <c r="C60" s="109"/>
      <c r="D60" s="110"/>
      <c r="E60" s="293"/>
      <c r="F60" s="317"/>
      <c r="G60" s="317"/>
      <c r="H60" s="257"/>
      <c r="I60" s="293"/>
      <c r="J60" s="293"/>
      <c r="K60" s="317"/>
      <c r="L60" s="257"/>
      <c r="M60" s="107"/>
    </row>
    <row r="61" spans="2:13" s="108" customFormat="1" ht="21" customHeight="1" x14ac:dyDescent="0.25">
      <c r="B61" s="427" t="s">
        <v>159</v>
      </c>
      <c r="C61" s="428"/>
      <c r="D61" s="432"/>
      <c r="E61" s="346">
        <f>SUM(E62)</f>
        <v>907</v>
      </c>
      <c r="F61" s="318">
        <f>(E61-H61)/H61</f>
        <v>0.20772303595206393</v>
      </c>
      <c r="G61" s="247">
        <f>(E61-I61)/I61</f>
        <v>-0.28582677165354331</v>
      </c>
      <c r="H61" s="354">
        <f>SUM(H62)</f>
        <v>751</v>
      </c>
      <c r="I61" s="346">
        <f>SUM(I62)</f>
        <v>1270</v>
      </c>
      <c r="J61" s="348">
        <f>SUM(J62)</f>
        <v>4885</v>
      </c>
      <c r="K61" s="247">
        <f>(J61-L61)/L61</f>
        <v>0.10620471014492754</v>
      </c>
      <c r="L61" s="248">
        <f>SUM(L62)</f>
        <v>4416</v>
      </c>
      <c r="M61" s="107"/>
    </row>
    <row r="62" spans="2:13" s="108" customFormat="1" ht="18" customHeight="1" x14ac:dyDescent="0.25">
      <c r="B62" s="258"/>
      <c r="C62" s="433" t="s">
        <v>125</v>
      </c>
      <c r="D62" s="434"/>
      <c r="E62" s="347">
        <v>907</v>
      </c>
      <c r="F62" s="320">
        <f>(E62-H62)/H62</f>
        <v>0.20772303595206393</v>
      </c>
      <c r="G62" s="225">
        <f>(E62-I62)/I62</f>
        <v>-0.28582677165354331</v>
      </c>
      <c r="H62" s="355">
        <v>751</v>
      </c>
      <c r="I62" s="347">
        <v>1270</v>
      </c>
      <c r="J62" s="350">
        <v>4885</v>
      </c>
      <c r="K62" s="319">
        <f>(J62-L62)/L62</f>
        <v>0.10620471014492754</v>
      </c>
      <c r="L62" s="256">
        <v>4416</v>
      </c>
      <c r="M62" s="107"/>
    </row>
    <row r="63" spans="2:13" s="108" customFormat="1" ht="4.5" customHeight="1" x14ac:dyDescent="0.25">
      <c r="B63" s="106"/>
      <c r="C63" s="109"/>
      <c r="D63" s="110"/>
      <c r="E63" s="293"/>
      <c r="F63" s="317"/>
      <c r="G63" s="317"/>
      <c r="H63" s="257"/>
      <c r="I63" s="293"/>
      <c r="J63" s="293"/>
      <c r="K63" s="317"/>
      <c r="L63" s="257"/>
      <c r="M63" s="107"/>
    </row>
    <row r="64" spans="2:13" s="72" customFormat="1" ht="26.25" customHeight="1" x14ac:dyDescent="0.25">
      <c r="B64" s="429" t="s">
        <v>160</v>
      </c>
      <c r="C64" s="430"/>
      <c r="D64" s="431"/>
      <c r="E64" s="345">
        <f>SUM(E43,E52,E61)</f>
        <v>12566</v>
      </c>
      <c r="F64" s="321">
        <f>(E64-H64)/H64</f>
        <v>0.13698878031125589</v>
      </c>
      <c r="G64" s="322">
        <f>(E64-I64)/I64</f>
        <v>-0.129054616024397</v>
      </c>
      <c r="H64" s="356">
        <f>SUM(H43,H52,H61)</f>
        <v>11052</v>
      </c>
      <c r="I64" s="345">
        <f>SUM(I43,I52,I61)</f>
        <v>14428</v>
      </c>
      <c r="J64" s="357">
        <f>SUM(J43,J52,J61)</f>
        <v>67317</v>
      </c>
      <c r="K64" s="323">
        <f>(J64-L64)/L64</f>
        <v>0.3177191402732647</v>
      </c>
      <c r="L64" s="259">
        <f>SUM(L43,L52,L61)</f>
        <v>51086</v>
      </c>
    </row>
    <row r="65" spans="2:13" s="108" customFormat="1" ht="4.5" customHeight="1" x14ac:dyDescent="0.25">
      <c r="B65" s="106"/>
      <c r="C65" s="109"/>
      <c r="D65" s="110"/>
      <c r="E65" s="217"/>
      <c r="F65" s="218"/>
      <c r="G65" s="218"/>
      <c r="H65" s="358"/>
      <c r="I65" s="358"/>
      <c r="J65" s="217"/>
      <c r="K65" s="218"/>
      <c r="L65" s="217"/>
      <c r="M65" s="107"/>
    </row>
  </sheetData>
  <mergeCells count="35">
    <mergeCell ref="C56:D56"/>
    <mergeCell ref="C55:D55"/>
    <mergeCell ref="C50:D50"/>
    <mergeCell ref="C54:D54"/>
    <mergeCell ref="C49:D49"/>
    <mergeCell ref="B52:D52"/>
    <mergeCell ref="C53:D53"/>
    <mergeCell ref="C46:D46"/>
    <mergeCell ref="L41:L42"/>
    <mergeCell ref="B41:D42"/>
    <mergeCell ref="C45:D45"/>
    <mergeCell ref="F41:G41"/>
    <mergeCell ref="J41:J42"/>
    <mergeCell ref="C44:D44"/>
    <mergeCell ref="B64:D64"/>
    <mergeCell ref="B61:D61"/>
    <mergeCell ref="C62:D62"/>
    <mergeCell ref="C59:D59"/>
    <mergeCell ref="C58:D58"/>
    <mergeCell ref="C57:D57"/>
    <mergeCell ref="C48:D48"/>
    <mergeCell ref="C47:D47"/>
    <mergeCell ref="B1:L1"/>
    <mergeCell ref="B3:D4"/>
    <mergeCell ref="J3:J4"/>
    <mergeCell ref="L3:L4"/>
    <mergeCell ref="C11:D11"/>
    <mergeCell ref="B5:B20"/>
    <mergeCell ref="C5:C10"/>
    <mergeCell ref="C27:D27"/>
    <mergeCell ref="C12:C19"/>
    <mergeCell ref="C24:D24"/>
    <mergeCell ref="C20:D20"/>
    <mergeCell ref="B43:D43"/>
    <mergeCell ref="C34:D34"/>
  </mergeCells>
  <phoneticPr fontId="2" type="noConversion"/>
  <printOptions horizontalCentered="1"/>
  <pageMargins left="0.62992125984251968" right="0.62992125984251968" top="0.62992125984251968" bottom="0.62992125984251968" header="0.39370078740157483" footer="0.39370078740157483"/>
  <pageSetup paperSize="9" scale="65" orientation="portrait" r:id="rId1"/>
  <headerFooter alignWithMargins="0"/>
  <ignoredErrors>
    <ignoredError sqref="K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3"/>
  <sheetViews>
    <sheetView showGridLines="0" zoomScale="89" zoomScaleNormal="89" workbookViewId="0">
      <selection activeCell="I17" sqref="I17"/>
    </sheetView>
  </sheetViews>
  <sheetFormatPr defaultRowHeight="14.4" x14ac:dyDescent="0.25"/>
  <cols>
    <col min="1" max="1" width="7.19921875" customWidth="1"/>
    <col min="2" max="2" width="7.19921875" style="1" customWidth="1"/>
    <col min="3" max="5" width="19.09765625" customWidth="1"/>
    <col min="6" max="6" width="2.3984375" style="6" customWidth="1"/>
    <col min="7" max="7" width="10.19921875" bestFit="1" customWidth="1"/>
    <col min="9" max="9" width="10.19921875" bestFit="1" customWidth="1"/>
  </cols>
  <sheetData>
    <row r="1" spans="1:6" ht="15" thickBot="1" x14ac:dyDescent="0.3"/>
    <row r="2" spans="1:6" ht="15" customHeight="1" x14ac:dyDescent="0.25">
      <c r="A2" s="451"/>
      <c r="B2" s="452"/>
      <c r="C2" s="457" t="s">
        <v>16</v>
      </c>
      <c r="D2" s="455" t="s">
        <v>15</v>
      </c>
      <c r="E2" s="449" t="s">
        <v>0</v>
      </c>
      <c r="F2" s="15"/>
    </row>
    <row r="3" spans="1:6" ht="15" customHeight="1" thickBot="1" x14ac:dyDescent="0.3">
      <c r="A3" s="453"/>
      <c r="B3" s="454"/>
      <c r="C3" s="458"/>
      <c r="D3" s="456"/>
      <c r="E3" s="450"/>
      <c r="F3" s="15"/>
    </row>
    <row r="4" spans="1:6" ht="15" customHeight="1" x14ac:dyDescent="0.25">
      <c r="A4" s="459" t="s">
        <v>193</v>
      </c>
      <c r="B4" s="12">
        <v>1</v>
      </c>
      <c r="C4" s="165">
        <v>46205</v>
      </c>
      <c r="D4" s="166">
        <f>69927+166524</f>
        <v>236451</v>
      </c>
      <c r="E4" s="167">
        <f t="shared" ref="E4:E9" si="0">SUM(C4:D4)</f>
        <v>282656</v>
      </c>
      <c r="F4" s="15"/>
    </row>
    <row r="5" spans="1:6" ht="15" customHeight="1" x14ac:dyDescent="0.25">
      <c r="A5" s="460"/>
      <c r="B5" s="13" t="s">
        <v>166</v>
      </c>
      <c r="C5" s="168">
        <v>53010</v>
      </c>
      <c r="D5" s="169">
        <f>76292+176029</f>
        <v>252321</v>
      </c>
      <c r="E5" s="170">
        <f t="shared" si="0"/>
        <v>305331</v>
      </c>
      <c r="F5" s="15"/>
    </row>
    <row r="6" spans="1:6" ht="15" customHeight="1" x14ac:dyDescent="0.25">
      <c r="A6" s="460"/>
      <c r="B6" s="13" t="s">
        <v>169</v>
      </c>
      <c r="C6" s="168">
        <v>52883</v>
      </c>
      <c r="D6" s="169">
        <f>77812+184268</f>
        <v>262080</v>
      </c>
      <c r="E6" s="170">
        <f t="shared" si="0"/>
        <v>314963</v>
      </c>
    </row>
    <row r="7" spans="1:6" ht="15" customHeight="1" x14ac:dyDescent="0.25">
      <c r="A7" s="460"/>
      <c r="B7" s="13" t="s">
        <v>170</v>
      </c>
      <c r="C7" s="168">
        <v>59415</v>
      </c>
      <c r="D7" s="169">
        <f>78895+171566</f>
        <v>250461</v>
      </c>
      <c r="E7" s="170">
        <f t="shared" si="0"/>
        <v>309876</v>
      </c>
    </row>
    <row r="8" spans="1:6" ht="15" customHeight="1" x14ac:dyDescent="0.25">
      <c r="A8" s="460"/>
      <c r="B8" s="13" t="s">
        <v>175</v>
      </c>
      <c r="C8" s="168">
        <v>63373</v>
      </c>
      <c r="D8" s="169">
        <f>86114+174346</f>
        <v>260460</v>
      </c>
      <c r="E8" s="170">
        <f t="shared" si="0"/>
        <v>323833</v>
      </c>
    </row>
    <row r="9" spans="1:6" ht="15" customHeight="1" x14ac:dyDescent="0.25">
      <c r="A9" s="460"/>
      <c r="B9" s="13" t="s">
        <v>176</v>
      </c>
      <c r="C9" s="168">
        <v>59510</v>
      </c>
      <c r="D9" s="169">
        <v>281024</v>
      </c>
      <c r="E9" s="170">
        <f t="shared" si="0"/>
        <v>340534</v>
      </c>
    </row>
    <row r="10" spans="1:6" ht="15" customHeight="1" x14ac:dyDescent="0.25">
      <c r="A10" s="460"/>
      <c r="B10" s="13" t="s">
        <v>178</v>
      </c>
      <c r="C10" s="168"/>
      <c r="D10" s="169"/>
      <c r="E10" s="170"/>
    </row>
    <row r="11" spans="1:6" ht="15" customHeight="1" x14ac:dyDescent="0.25">
      <c r="A11" s="460"/>
      <c r="B11" s="13" t="s">
        <v>182</v>
      </c>
      <c r="C11" s="168"/>
      <c r="D11" s="169"/>
      <c r="E11" s="170"/>
    </row>
    <row r="12" spans="1:6" ht="15" customHeight="1" x14ac:dyDescent="0.25">
      <c r="A12" s="460"/>
      <c r="B12" s="13" t="s">
        <v>183</v>
      </c>
      <c r="C12" s="168"/>
      <c r="D12" s="169"/>
      <c r="E12" s="170"/>
    </row>
    <row r="13" spans="1:6" ht="15" customHeight="1" x14ac:dyDescent="0.25">
      <c r="A13" s="460"/>
      <c r="B13" s="13" t="s">
        <v>186</v>
      </c>
      <c r="C13" s="168"/>
      <c r="D13" s="169"/>
      <c r="E13" s="170"/>
    </row>
    <row r="14" spans="1:6" ht="15" customHeight="1" x14ac:dyDescent="0.25">
      <c r="A14" s="460"/>
      <c r="B14" s="13" t="s">
        <v>189</v>
      </c>
      <c r="C14" s="168"/>
      <c r="D14" s="169"/>
      <c r="E14" s="170"/>
    </row>
    <row r="15" spans="1:6" ht="15" customHeight="1" thickBot="1" x14ac:dyDescent="0.3">
      <c r="A15" s="461"/>
      <c r="B15" s="14" t="s">
        <v>190</v>
      </c>
      <c r="C15" s="171"/>
      <c r="D15" s="172"/>
      <c r="E15" s="173"/>
    </row>
    <row r="16" spans="1:6" ht="15.6" thickTop="1" thickBot="1" x14ac:dyDescent="0.3">
      <c r="A16" s="10"/>
      <c r="B16" s="11" t="s">
        <v>0</v>
      </c>
      <c r="C16" s="174">
        <f>SUM(C4:C15)</f>
        <v>334396</v>
      </c>
      <c r="D16" s="175">
        <f>SUM(D4:D15)</f>
        <v>1542797</v>
      </c>
      <c r="E16" s="176">
        <f>SUM(E4:E15)</f>
        <v>1877193</v>
      </c>
    </row>
    <row r="17" spans="1:6" ht="15" thickBot="1" x14ac:dyDescent="0.3"/>
    <row r="18" spans="1:6" ht="15" customHeight="1" x14ac:dyDescent="0.25">
      <c r="A18" s="451"/>
      <c r="B18" s="452"/>
      <c r="C18" s="457" t="s">
        <v>16</v>
      </c>
      <c r="D18" s="455" t="s">
        <v>15</v>
      </c>
      <c r="E18" s="449" t="s">
        <v>0</v>
      </c>
      <c r="F18" s="15"/>
    </row>
    <row r="19" spans="1:6" ht="15" customHeight="1" thickBot="1" x14ac:dyDescent="0.3">
      <c r="A19" s="453"/>
      <c r="B19" s="454"/>
      <c r="C19" s="458"/>
      <c r="D19" s="456"/>
      <c r="E19" s="450"/>
      <c r="F19" s="15"/>
    </row>
    <row r="20" spans="1:6" ht="15" customHeight="1" x14ac:dyDescent="0.25">
      <c r="A20" s="459" t="s">
        <v>165</v>
      </c>
      <c r="B20" s="12">
        <v>1</v>
      </c>
      <c r="C20" s="165">
        <v>59501</v>
      </c>
      <c r="D20" s="166">
        <f>72046+189521</f>
        <v>261567</v>
      </c>
      <c r="E20" s="167">
        <f t="shared" ref="E20:E25" si="1">C20+D20</f>
        <v>321068</v>
      </c>
      <c r="F20" s="15"/>
    </row>
    <row r="21" spans="1:6" ht="15" customHeight="1" x14ac:dyDescent="0.25">
      <c r="A21" s="460"/>
      <c r="B21" s="13" t="s">
        <v>166</v>
      </c>
      <c r="C21" s="168">
        <v>52102</v>
      </c>
      <c r="D21" s="169">
        <f>66346+182066</f>
        <v>248412</v>
      </c>
      <c r="E21" s="170">
        <f t="shared" si="1"/>
        <v>300514</v>
      </c>
      <c r="F21" s="15"/>
    </row>
    <row r="22" spans="1:6" ht="15" customHeight="1" x14ac:dyDescent="0.25">
      <c r="A22" s="460"/>
      <c r="B22" s="13" t="s">
        <v>169</v>
      </c>
      <c r="C22" s="168">
        <v>73810</v>
      </c>
      <c r="D22" s="169">
        <f>82616+221820</f>
        <v>304436</v>
      </c>
      <c r="E22" s="170">
        <f t="shared" si="1"/>
        <v>378246</v>
      </c>
    </row>
    <row r="23" spans="1:6" ht="15" customHeight="1" x14ac:dyDescent="0.25">
      <c r="A23" s="460"/>
      <c r="B23" s="13" t="s">
        <v>170</v>
      </c>
      <c r="C23" s="168">
        <v>70219</v>
      </c>
      <c r="D23" s="169">
        <f>76112+202853</f>
        <v>278965</v>
      </c>
      <c r="E23" s="170">
        <f t="shared" si="1"/>
        <v>349184</v>
      </c>
    </row>
    <row r="24" spans="1:6" ht="15" customHeight="1" x14ac:dyDescent="0.25">
      <c r="A24" s="460"/>
      <c r="B24" s="13" t="s">
        <v>175</v>
      </c>
      <c r="C24" s="168">
        <v>62056</v>
      </c>
      <c r="D24" s="169">
        <f>83951+179535</f>
        <v>263486</v>
      </c>
      <c r="E24" s="170">
        <f t="shared" si="1"/>
        <v>325542</v>
      </c>
    </row>
    <row r="25" spans="1:6" ht="15" customHeight="1" x14ac:dyDescent="0.25">
      <c r="A25" s="460"/>
      <c r="B25" s="13" t="s">
        <v>176</v>
      </c>
      <c r="C25" s="168">
        <v>68407</v>
      </c>
      <c r="D25" s="169">
        <f>85177+203047</f>
        <v>288224</v>
      </c>
      <c r="E25" s="170">
        <f t="shared" si="1"/>
        <v>356631</v>
      </c>
    </row>
    <row r="26" spans="1:6" ht="15" customHeight="1" x14ac:dyDescent="0.25">
      <c r="A26" s="460"/>
      <c r="B26" s="13" t="s">
        <v>178</v>
      </c>
      <c r="C26" s="168">
        <v>59856</v>
      </c>
      <c r="D26" s="169">
        <f>74804+178800</f>
        <v>253604</v>
      </c>
      <c r="E26" s="170">
        <f>SUM(C26+D26)</f>
        <v>313460</v>
      </c>
    </row>
    <row r="27" spans="1:6" ht="15" customHeight="1" x14ac:dyDescent="0.25">
      <c r="A27" s="460"/>
      <c r="B27" s="13" t="s">
        <v>182</v>
      </c>
      <c r="C27" s="168">
        <v>51034</v>
      </c>
      <c r="D27" s="169">
        <f>74986+173984</f>
        <v>248970</v>
      </c>
      <c r="E27" s="170">
        <f>SUM(C27+D27)</f>
        <v>300004</v>
      </c>
    </row>
    <row r="28" spans="1:6" ht="15" customHeight="1" x14ac:dyDescent="0.25">
      <c r="A28" s="460"/>
      <c r="B28" s="13" t="s">
        <v>183</v>
      </c>
      <c r="C28" s="168">
        <v>43857</v>
      </c>
      <c r="D28" s="169">
        <f>79193+162388</f>
        <v>241581</v>
      </c>
      <c r="E28" s="170">
        <f>SUM(C28:D28)</f>
        <v>285438</v>
      </c>
    </row>
    <row r="29" spans="1:6" ht="15" customHeight="1" x14ac:dyDescent="0.25">
      <c r="A29" s="460"/>
      <c r="B29" s="13" t="s">
        <v>186</v>
      </c>
      <c r="C29" s="168">
        <v>57813</v>
      </c>
      <c r="D29" s="169">
        <f>84242+167426</f>
        <v>251668</v>
      </c>
      <c r="E29" s="170">
        <f>SUM(C29:D29)</f>
        <v>309481</v>
      </c>
    </row>
    <row r="30" spans="1:6" ht="15" customHeight="1" x14ac:dyDescent="0.25">
      <c r="A30" s="460"/>
      <c r="B30" s="13" t="s">
        <v>189</v>
      </c>
      <c r="C30" s="168">
        <v>62071</v>
      </c>
      <c r="D30" s="169">
        <f>71409+183701</f>
        <v>255110</v>
      </c>
      <c r="E30" s="170">
        <f>SUM(C30:D30)</f>
        <v>317181</v>
      </c>
    </row>
    <row r="31" spans="1:6" ht="15" customHeight="1" thickBot="1" x14ac:dyDescent="0.3">
      <c r="A31" s="461"/>
      <c r="B31" s="14" t="s">
        <v>190</v>
      </c>
      <c r="C31" s="171">
        <v>66112</v>
      </c>
      <c r="D31" s="172">
        <f>77405+190460</f>
        <v>267865</v>
      </c>
      <c r="E31" s="173">
        <f>SUM(C31:D31)</f>
        <v>333977</v>
      </c>
    </row>
    <row r="32" spans="1:6" ht="15.6" thickTop="1" thickBot="1" x14ac:dyDescent="0.3">
      <c r="A32" s="10"/>
      <c r="B32" s="11" t="s">
        <v>0</v>
      </c>
      <c r="C32" s="174">
        <f>SUM(C20:C31)</f>
        <v>726838</v>
      </c>
      <c r="D32" s="175">
        <f>SUM(D20:D31)</f>
        <v>3163888</v>
      </c>
      <c r="E32" s="176">
        <f>SUM(E20:E31)</f>
        <v>3890726</v>
      </c>
    </row>
    <row r="33" spans="1:9" ht="13.5" hidden="1" customHeight="1" thickBot="1" x14ac:dyDescent="0.3">
      <c r="A33" s="2"/>
      <c r="B33" s="7"/>
      <c r="C33" s="2"/>
      <c r="D33" s="2"/>
      <c r="E33" s="2"/>
      <c r="F33" s="15"/>
    </row>
    <row r="34" spans="1:9" ht="15" hidden="1" customHeight="1" x14ac:dyDescent="0.25">
      <c r="A34" s="451"/>
      <c r="B34" s="452"/>
      <c r="C34" s="457" t="s">
        <v>16</v>
      </c>
      <c r="D34" s="455" t="s">
        <v>15</v>
      </c>
      <c r="E34" s="449" t="s">
        <v>0</v>
      </c>
      <c r="F34" s="15"/>
    </row>
    <row r="35" spans="1:9" ht="15" hidden="1" customHeight="1" thickBot="1" x14ac:dyDescent="0.3">
      <c r="A35" s="453"/>
      <c r="B35" s="454"/>
      <c r="C35" s="458"/>
      <c r="D35" s="456"/>
      <c r="E35" s="450"/>
      <c r="F35" s="15"/>
    </row>
    <row r="36" spans="1:9" ht="15" hidden="1" customHeight="1" x14ac:dyDescent="0.25">
      <c r="A36" s="459" t="s">
        <v>147</v>
      </c>
      <c r="B36" s="12">
        <v>1</v>
      </c>
      <c r="C36" s="165">
        <v>47591</v>
      </c>
      <c r="D36" s="166">
        <v>267234</v>
      </c>
      <c r="E36" s="167">
        <f t="shared" ref="E36:E47" si="2">C36+D36</f>
        <v>314825</v>
      </c>
      <c r="F36" s="15"/>
    </row>
    <row r="37" spans="1:9" ht="15" hidden="1" customHeight="1" x14ac:dyDescent="0.25">
      <c r="A37" s="460"/>
      <c r="B37" s="13" t="s">
        <v>70</v>
      </c>
      <c r="C37" s="168">
        <v>39290</v>
      </c>
      <c r="D37" s="169">
        <v>242073</v>
      </c>
      <c r="E37" s="170">
        <f t="shared" si="2"/>
        <v>281363</v>
      </c>
      <c r="F37" s="15"/>
    </row>
    <row r="38" spans="1:9" ht="15" hidden="1" customHeight="1" x14ac:dyDescent="0.25">
      <c r="A38" s="460"/>
      <c r="B38" s="13">
        <v>3</v>
      </c>
      <c r="C38" s="168">
        <v>72180</v>
      </c>
      <c r="D38" s="169">
        <v>234996</v>
      </c>
      <c r="E38" s="170">
        <f t="shared" si="2"/>
        <v>307176</v>
      </c>
    </row>
    <row r="39" spans="1:9" ht="15" hidden="1" customHeight="1" x14ac:dyDescent="0.25">
      <c r="A39" s="460"/>
      <c r="B39" s="13" t="s">
        <v>71</v>
      </c>
      <c r="C39" s="168">
        <v>71042</v>
      </c>
      <c r="D39" s="169">
        <v>96651</v>
      </c>
      <c r="E39" s="170">
        <f t="shared" si="2"/>
        <v>167693</v>
      </c>
    </row>
    <row r="40" spans="1:9" ht="15" hidden="1" customHeight="1" x14ac:dyDescent="0.25">
      <c r="A40" s="460"/>
      <c r="B40" s="13" t="s">
        <v>72</v>
      </c>
      <c r="C40" s="168">
        <v>70810</v>
      </c>
      <c r="D40" s="169">
        <v>155646</v>
      </c>
      <c r="E40" s="170">
        <f t="shared" si="2"/>
        <v>226456</v>
      </c>
    </row>
    <row r="41" spans="1:9" ht="15" hidden="1" customHeight="1" x14ac:dyDescent="0.25">
      <c r="A41" s="460"/>
      <c r="B41" s="13" t="s">
        <v>73</v>
      </c>
      <c r="C41" s="168">
        <v>83700</v>
      </c>
      <c r="D41" s="169">
        <v>226127</v>
      </c>
      <c r="E41" s="170">
        <f t="shared" si="2"/>
        <v>309827</v>
      </c>
    </row>
    <row r="42" spans="1:9" ht="15" hidden="1" customHeight="1" x14ac:dyDescent="0.25">
      <c r="A42" s="460"/>
      <c r="B42" s="13" t="s">
        <v>76</v>
      </c>
      <c r="C42" s="168">
        <v>77381</v>
      </c>
      <c r="D42" s="169">
        <v>240022</v>
      </c>
      <c r="E42" s="170">
        <f t="shared" si="2"/>
        <v>317403</v>
      </c>
      <c r="I42" s="302"/>
    </row>
    <row r="43" spans="1:9" ht="15" hidden="1" customHeight="1" x14ac:dyDescent="0.25">
      <c r="A43" s="460"/>
      <c r="B43" s="13" t="s">
        <v>77</v>
      </c>
      <c r="C43" s="168">
        <v>54590</v>
      </c>
      <c r="D43" s="169">
        <v>264110</v>
      </c>
      <c r="E43" s="170">
        <f t="shared" si="2"/>
        <v>318700</v>
      </c>
    </row>
    <row r="44" spans="1:9" ht="15" hidden="1" customHeight="1" x14ac:dyDescent="0.25">
      <c r="A44" s="460"/>
      <c r="B44" s="13" t="s">
        <v>78</v>
      </c>
      <c r="C44" s="168">
        <v>67080</v>
      </c>
      <c r="D44" s="169">
        <v>294631</v>
      </c>
      <c r="E44" s="170">
        <f t="shared" si="2"/>
        <v>361711</v>
      </c>
    </row>
    <row r="45" spans="1:9" ht="15" hidden="1" customHeight="1" x14ac:dyDescent="0.25">
      <c r="A45" s="460"/>
      <c r="B45" s="13" t="s">
        <v>79</v>
      </c>
      <c r="C45" s="168">
        <v>65669</v>
      </c>
      <c r="D45" s="169">
        <v>321528</v>
      </c>
      <c r="E45" s="170">
        <f t="shared" si="2"/>
        <v>387197</v>
      </c>
    </row>
    <row r="46" spans="1:9" ht="15" hidden="1" customHeight="1" x14ac:dyDescent="0.25">
      <c r="A46" s="460"/>
      <c r="B46" s="13" t="s">
        <v>81</v>
      </c>
      <c r="C46" s="168">
        <v>70035</v>
      </c>
      <c r="D46" s="169">
        <v>307158</v>
      </c>
      <c r="E46" s="170">
        <f t="shared" si="2"/>
        <v>377193</v>
      </c>
    </row>
    <row r="47" spans="1:9" ht="15" hidden="1" customHeight="1" thickBot="1" x14ac:dyDescent="0.3">
      <c r="A47" s="461"/>
      <c r="B47" s="14" t="s">
        <v>82</v>
      </c>
      <c r="C47" s="171">
        <v>68486</v>
      </c>
      <c r="D47" s="172">
        <v>306707</v>
      </c>
      <c r="E47" s="173">
        <f t="shared" si="2"/>
        <v>375193</v>
      </c>
    </row>
    <row r="48" spans="1:9" ht="15.6" hidden="1" thickTop="1" thickBot="1" x14ac:dyDescent="0.3">
      <c r="A48" s="10"/>
      <c r="B48" s="11" t="s">
        <v>0</v>
      </c>
      <c r="C48" s="174">
        <f>SUM(C36:C47)</f>
        <v>787854</v>
      </c>
      <c r="D48" s="175">
        <f>SUM(D36:D47)</f>
        <v>2956883</v>
      </c>
      <c r="E48" s="176">
        <f>SUM(E36:E47)</f>
        <v>3744737</v>
      </c>
    </row>
    <row r="49" spans="1:5" ht="15" hidden="1" thickBot="1" x14ac:dyDescent="0.3">
      <c r="A49" s="273"/>
      <c r="B49" s="273"/>
      <c r="C49" s="274"/>
      <c r="D49" s="274"/>
      <c r="E49" s="274"/>
    </row>
    <row r="50" spans="1:5" hidden="1" x14ac:dyDescent="0.25">
      <c r="A50" s="451"/>
      <c r="B50" s="452"/>
      <c r="C50" s="457" t="s">
        <v>16</v>
      </c>
      <c r="D50" s="455" t="s">
        <v>15</v>
      </c>
      <c r="E50" s="449" t="s">
        <v>0</v>
      </c>
    </row>
    <row r="51" spans="1:5" ht="15" hidden="1" thickBot="1" x14ac:dyDescent="0.3">
      <c r="A51" s="453"/>
      <c r="B51" s="454"/>
      <c r="C51" s="458"/>
      <c r="D51" s="456"/>
      <c r="E51" s="450"/>
    </row>
    <row r="52" spans="1:5" hidden="1" x14ac:dyDescent="0.25">
      <c r="A52" s="459" t="s">
        <v>168</v>
      </c>
      <c r="B52" s="12">
        <v>1</v>
      </c>
      <c r="C52" s="165">
        <v>60440</v>
      </c>
      <c r="D52" s="166">
        <v>254954</v>
      </c>
      <c r="E52" s="167">
        <f t="shared" ref="E52:E63" si="3">C52+D52</f>
        <v>315394</v>
      </c>
    </row>
    <row r="53" spans="1:5" hidden="1" x14ac:dyDescent="0.25">
      <c r="A53" s="460"/>
      <c r="B53" s="13" t="s">
        <v>70</v>
      </c>
      <c r="C53" s="168">
        <v>53406</v>
      </c>
      <c r="D53" s="169">
        <v>262414</v>
      </c>
      <c r="E53" s="170">
        <f t="shared" si="3"/>
        <v>315820</v>
      </c>
    </row>
    <row r="54" spans="1:5" hidden="1" x14ac:dyDescent="0.25">
      <c r="A54" s="460"/>
      <c r="B54" s="13">
        <v>3</v>
      </c>
      <c r="C54" s="168">
        <v>70111</v>
      </c>
      <c r="D54" s="169">
        <v>320066</v>
      </c>
      <c r="E54" s="170">
        <f t="shared" si="3"/>
        <v>390177</v>
      </c>
    </row>
    <row r="55" spans="1:5" hidden="1" x14ac:dyDescent="0.25">
      <c r="A55" s="460"/>
      <c r="B55" s="13" t="s">
        <v>71</v>
      </c>
      <c r="C55" s="168">
        <v>71413</v>
      </c>
      <c r="D55" s="169">
        <v>297540</v>
      </c>
      <c r="E55" s="170">
        <f t="shared" si="3"/>
        <v>368953</v>
      </c>
    </row>
    <row r="56" spans="1:5" hidden="1" x14ac:dyDescent="0.25">
      <c r="A56" s="460"/>
      <c r="B56" s="13" t="s">
        <v>72</v>
      </c>
      <c r="C56" s="168">
        <v>67756</v>
      </c>
      <c r="D56" s="169">
        <v>290811</v>
      </c>
      <c r="E56" s="170">
        <f t="shared" si="3"/>
        <v>358567</v>
      </c>
    </row>
    <row r="57" spans="1:5" hidden="1" x14ac:dyDescent="0.25">
      <c r="A57" s="460"/>
      <c r="B57" s="13" t="s">
        <v>73</v>
      </c>
      <c r="C57" s="168">
        <v>60987</v>
      </c>
      <c r="D57" s="169">
        <v>316409</v>
      </c>
      <c r="E57" s="170">
        <f t="shared" si="3"/>
        <v>377396</v>
      </c>
    </row>
    <row r="58" spans="1:5" hidden="1" x14ac:dyDescent="0.25">
      <c r="A58" s="460"/>
      <c r="B58" s="13" t="s">
        <v>76</v>
      </c>
      <c r="C58" s="168">
        <v>60286</v>
      </c>
      <c r="D58" s="169">
        <v>297576</v>
      </c>
      <c r="E58" s="170">
        <f t="shared" si="3"/>
        <v>357862</v>
      </c>
    </row>
    <row r="59" spans="1:5" hidden="1" x14ac:dyDescent="0.25">
      <c r="A59" s="460"/>
      <c r="B59" s="13" t="s">
        <v>77</v>
      </c>
      <c r="C59" s="168">
        <v>52897</v>
      </c>
      <c r="D59" s="169">
        <v>311693</v>
      </c>
      <c r="E59" s="170">
        <f t="shared" si="3"/>
        <v>364590</v>
      </c>
    </row>
    <row r="60" spans="1:5" hidden="1" x14ac:dyDescent="0.25">
      <c r="A60" s="460"/>
      <c r="B60" s="13" t="s">
        <v>78</v>
      </c>
      <c r="C60" s="168">
        <v>50139</v>
      </c>
      <c r="D60" s="169">
        <v>330771</v>
      </c>
      <c r="E60" s="170">
        <f t="shared" si="3"/>
        <v>380910</v>
      </c>
    </row>
    <row r="61" spans="1:5" hidden="1" x14ac:dyDescent="0.25">
      <c r="A61" s="460"/>
      <c r="B61" s="13" t="s">
        <v>79</v>
      </c>
      <c r="C61" s="168">
        <v>64912</v>
      </c>
      <c r="D61" s="169">
        <v>337800</v>
      </c>
      <c r="E61" s="170">
        <f t="shared" si="3"/>
        <v>402712</v>
      </c>
    </row>
    <row r="62" spans="1:5" hidden="1" x14ac:dyDescent="0.25">
      <c r="A62" s="460"/>
      <c r="B62" s="13" t="s">
        <v>81</v>
      </c>
      <c r="C62" s="168">
        <v>63160</v>
      </c>
      <c r="D62" s="169">
        <v>330534</v>
      </c>
      <c r="E62" s="170">
        <f t="shared" si="3"/>
        <v>393694</v>
      </c>
    </row>
    <row r="63" spans="1:5" ht="15" hidden="1" thickBot="1" x14ac:dyDescent="0.3">
      <c r="A63" s="461"/>
      <c r="B63" s="14" t="s">
        <v>82</v>
      </c>
      <c r="C63" s="171">
        <v>66335</v>
      </c>
      <c r="D63" s="172">
        <v>333118</v>
      </c>
      <c r="E63" s="173">
        <f t="shared" si="3"/>
        <v>399453</v>
      </c>
    </row>
    <row r="64" spans="1:5" ht="15.6" hidden="1" thickTop="1" thickBot="1" x14ac:dyDescent="0.3">
      <c r="A64" s="10"/>
      <c r="B64" s="11" t="s">
        <v>0</v>
      </c>
      <c r="C64" s="174">
        <f>SUM(C52:C63)</f>
        <v>741842</v>
      </c>
      <c r="D64" s="175">
        <f>SUM(D52:D63)</f>
        <v>3683686</v>
      </c>
      <c r="E64" s="176">
        <f>SUM(E52:E63)</f>
        <v>4425528</v>
      </c>
    </row>
    <row r="65" spans="1:6" ht="13.5" hidden="1" customHeight="1" thickBot="1" x14ac:dyDescent="0.3">
      <c r="A65" s="275"/>
      <c r="B65" s="276"/>
      <c r="C65" s="275"/>
      <c r="D65" s="275"/>
      <c r="E65" s="275"/>
      <c r="F65" s="15"/>
    </row>
    <row r="66" spans="1:6" ht="15" hidden="1" customHeight="1" x14ac:dyDescent="0.25">
      <c r="A66" s="451"/>
      <c r="B66" s="452"/>
      <c r="C66" s="457" t="s">
        <v>16</v>
      </c>
      <c r="D66" s="455" t="s">
        <v>15</v>
      </c>
      <c r="E66" s="449" t="s">
        <v>0</v>
      </c>
      <c r="F66" s="15"/>
    </row>
    <row r="67" spans="1:6" ht="15" hidden="1" customHeight="1" thickBot="1" x14ac:dyDescent="0.3">
      <c r="A67" s="453"/>
      <c r="B67" s="454"/>
      <c r="C67" s="458"/>
      <c r="D67" s="456"/>
      <c r="E67" s="450"/>
      <c r="F67" s="15"/>
    </row>
    <row r="68" spans="1:6" ht="15" hidden="1" customHeight="1" x14ac:dyDescent="0.25">
      <c r="A68" s="459" t="s">
        <v>120</v>
      </c>
      <c r="B68" s="12">
        <v>1</v>
      </c>
      <c r="C68" s="165">
        <v>51426</v>
      </c>
      <c r="D68" s="166">
        <v>287948</v>
      </c>
      <c r="E68" s="167">
        <f t="shared" ref="E68:E79" si="4">C68+D68</f>
        <v>339374</v>
      </c>
      <c r="F68" s="15"/>
    </row>
    <row r="69" spans="1:6" ht="15" hidden="1" customHeight="1" x14ac:dyDescent="0.25">
      <c r="A69" s="460"/>
      <c r="B69" s="13" t="s">
        <v>70</v>
      </c>
      <c r="C69" s="168">
        <v>50200</v>
      </c>
      <c r="D69" s="169">
        <v>262068</v>
      </c>
      <c r="E69" s="170">
        <f t="shared" si="4"/>
        <v>312268</v>
      </c>
      <c r="F69" s="15"/>
    </row>
    <row r="70" spans="1:6" ht="15" hidden="1" customHeight="1" x14ac:dyDescent="0.25">
      <c r="A70" s="460"/>
      <c r="B70" s="13">
        <v>3</v>
      </c>
      <c r="C70" s="168">
        <v>67577</v>
      </c>
      <c r="D70" s="169">
        <v>330170</v>
      </c>
      <c r="E70" s="170">
        <f t="shared" si="4"/>
        <v>397747</v>
      </c>
    </row>
    <row r="71" spans="1:6" ht="15" hidden="1" customHeight="1" x14ac:dyDescent="0.25">
      <c r="A71" s="460"/>
      <c r="B71" s="13" t="s">
        <v>71</v>
      </c>
      <c r="C71" s="168">
        <v>63788</v>
      </c>
      <c r="D71" s="169">
        <v>327995</v>
      </c>
      <c r="E71" s="170">
        <f t="shared" si="4"/>
        <v>391783</v>
      </c>
    </row>
    <row r="72" spans="1:6" ht="15" hidden="1" customHeight="1" x14ac:dyDescent="0.25">
      <c r="A72" s="460"/>
      <c r="B72" s="13" t="s">
        <v>72</v>
      </c>
      <c r="C72" s="168">
        <v>61896</v>
      </c>
      <c r="D72" s="169">
        <v>325610</v>
      </c>
      <c r="E72" s="170">
        <f t="shared" si="4"/>
        <v>387506</v>
      </c>
    </row>
    <row r="73" spans="1:6" ht="15" hidden="1" customHeight="1" x14ac:dyDescent="0.25">
      <c r="A73" s="460"/>
      <c r="B73" s="13" t="s">
        <v>73</v>
      </c>
      <c r="C73" s="168">
        <v>59494</v>
      </c>
      <c r="D73" s="169">
        <v>353358</v>
      </c>
      <c r="E73" s="170">
        <f t="shared" si="4"/>
        <v>412852</v>
      </c>
    </row>
    <row r="74" spans="1:6" ht="15" hidden="1" customHeight="1" x14ac:dyDescent="0.25">
      <c r="A74" s="460"/>
      <c r="B74" s="13" t="s">
        <v>76</v>
      </c>
      <c r="C74" s="168">
        <v>60367</v>
      </c>
      <c r="D74" s="169">
        <v>286498</v>
      </c>
      <c r="E74" s="170">
        <f t="shared" si="4"/>
        <v>346865</v>
      </c>
    </row>
    <row r="75" spans="1:6" ht="15" hidden="1" customHeight="1" x14ac:dyDescent="0.25">
      <c r="A75" s="460"/>
      <c r="B75" s="13" t="s">
        <v>77</v>
      </c>
      <c r="C75" s="168">
        <v>58582</v>
      </c>
      <c r="D75" s="169">
        <v>328303</v>
      </c>
      <c r="E75" s="170">
        <f t="shared" si="4"/>
        <v>386885</v>
      </c>
    </row>
    <row r="76" spans="1:6" ht="15" hidden="1" customHeight="1" x14ac:dyDescent="0.25">
      <c r="A76" s="460"/>
      <c r="B76" s="13" t="s">
        <v>78</v>
      </c>
      <c r="C76" s="168">
        <v>52494</v>
      </c>
      <c r="D76" s="169">
        <v>334982</v>
      </c>
      <c r="E76" s="170">
        <f t="shared" si="4"/>
        <v>387476</v>
      </c>
    </row>
    <row r="77" spans="1:6" ht="15" hidden="1" customHeight="1" x14ac:dyDescent="0.25">
      <c r="A77" s="460"/>
      <c r="B77" s="13" t="s">
        <v>79</v>
      </c>
      <c r="C77" s="168">
        <v>66288</v>
      </c>
      <c r="D77" s="169">
        <v>344037</v>
      </c>
      <c r="E77" s="170">
        <f t="shared" si="4"/>
        <v>410325</v>
      </c>
    </row>
    <row r="78" spans="1:6" ht="15" hidden="1" customHeight="1" x14ac:dyDescent="0.25">
      <c r="A78" s="460"/>
      <c r="B78" s="13" t="s">
        <v>81</v>
      </c>
      <c r="C78" s="168">
        <v>64131</v>
      </c>
      <c r="D78" s="169">
        <v>339237</v>
      </c>
      <c r="E78" s="170">
        <f t="shared" si="4"/>
        <v>403368</v>
      </c>
    </row>
    <row r="79" spans="1:6" ht="15" hidden="1" customHeight="1" thickBot="1" x14ac:dyDescent="0.3">
      <c r="A79" s="461"/>
      <c r="B79" s="14" t="s">
        <v>82</v>
      </c>
      <c r="C79" s="171">
        <v>64835</v>
      </c>
      <c r="D79" s="172">
        <v>347915</v>
      </c>
      <c r="E79" s="173">
        <f t="shared" si="4"/>
        <v>412750</v>
      </c>
    </row>
    <row r="80" spans="1:6" ht="15.6" hidden="1" thickTop="1" thickBot="1" x14ac:dyDescent="0.3">
      <c r="A80" s="10"/>
      <c r="B80" s="11" t="s">
        <v>0</v>
      </c>
      <c r="C80" s="174">
        <f>SUM(C68:C79)</f>
        <v>721078</v>
      </c>
      <c r="D80" s="175">
        <f>SUM(D68:D79)</f>
        <v>3868121</v>
      </c>
      <c r="E80" s="176">
        <f>SUM(E68:E79)</f>
        <v>4589199</v>
      </c>
    </row>
    <row r="81" spans="1:6" ht="13.5" hidden="1" customHeight="1" thickBot="1" x14ac:dyDescent="0.3">
      <c r="A81" s="2"/>
      <c r="B81" s="7"/>
      <c r="C81" s="2"/>
      <c r="D81" s="2"/>
      <c r="E81" s="2"/>
      <c r="F81" s="15"/>
    </row>
    <row r="82" spans="1:6" ht="13.5" hidden="1" customHeight="1" x14ac:dyDescent="0.25">
      <c r="A82" s="451"/>
      <c r="B82" s="452"/>
      <c r="C82" s="457" t="s">
        <v>16</v>
      </c>
      <c r="D82" s="455" t="s">
        <v>15</v>
      </c>
      <c r="E82" s="449" t="s">
        <v>0</v>
      </c>
      <c r="F82" s="8"/>
    </row>
    <row r="83" spans="1:6" ht="15" hidden="1" thickBot="1" x14ac:dyDescent="0.3">
      <c r="A83" s="453"/>
      <c r="B83" s="454"/>
      <c r="C83" s="458"/>
      <c r="D83" s="456"/>
      <c r="E83" s="450"/>
      <c r="F83" s="8"/>
    </row>
    <row r="84" spans="1:6" ht="15" hidden="1" customHeight="1" x14ac:dyDescent="0.25">
      <c r="A84" s="459" t="s">
        <v>83</v>
      </c>
      <c r="B84" s="12">
        <v>1</v>
      </c>
      <c r="C84" s="165">
        <v>45100</v>
      </c>
      <c r="D84" s="166">
        <v>293932</v>
      </c>
      <c r="E84" s="167">
        <f t="shared" ref="E84:E95" si="5">C84+D84</f>
        <v>339032</v>
      </c>
      <c r="F84" s="9"/>
    </row>
    <row r="85" spans="1:6" ht="15" hidden="1" customHeight="1" x14ac:dyDescent="0.25">
      <c r="A85" s="460"/>
      <c r="B85" s="13" t="s">
        <v>70</v>
      </c>
      <c r="C85" s="168">
        <v>53113</v>
      </c>
      <c r="D85" s="169">
        <v>284607</v>
      </c>
      <c r="E85" s="170">
        <f t="shared" si="5"/>
        <v>337720</v>
      </c>
      <c r="F85" s="9"/>
    </row>
    <row r="86" spans="1:6" ht="15" hidden="1" customHeight="1" x14ac:dyDescent="0.25">
      <c r="A86" s="460"/>
      <c r="B86" s="13">
        <v>3</v>
      </c>
      <c r="C86" s="168">
        <v>63765</v>
      </c>
      <c r="D86" s="169">
        <v>326838</v>
      </c>
      <c r="E86" s="170">
        <f t="shared" si="5"/>
        <v>390603</v>
      </c>
      <c r="F86" s="9"/>
    </row>
    <row r="87" spans="1:6" ht="15" hidden="1" customHeight="1" x14ac:dyDescent="0.25">
      <c r="A87" s="460"/>
      <c r="B87" s="13" t="s">
        <v>71</v>
      </c>
      <c r="C87" s="168">
        <v>60361</v>
      </c>
      <c r="D87" s="169">
        <v>291858</v>
      </c>
      <c r="E87" s="170">
        <f t="shared" si="5"/>
        <v>352219</v>
      </c>
      <c r="F87" s="9"/>
    </row>
    <row r="88" spans="1:6" ht="15" hidden="1" customHeight="1" x14ac:dyDescent="0.25">
      <c r="A88" s="460"/>
      <c r="B88" s="13" t="s">
        <v>72</v>
      </c>
      <c r="C88" s="168">
        <v>60607</v>
      </c>
      <c r="D88" s="169">
        <v>305649</v>
      </c>
      <c r="E88" s="170">
        <f t="shared" si="5"/>
        <v>366256</v>
      </c>
      <c r="F88" s="9"/>
    </row>
    <row r="89" spans="1:6" ht="15" hidden="1" customHeight="1" x14ac:dyDescent="0.25">
      <c r="A89" s="460"/>
      <c r="B89" s="13" t="s">
        <v>73</v>
      </c>
      <c r="C89" s="168">
        <v>61837</v>
      </c>
      <c r="D89" s="169">
        <v>297185</v>
      </c>
      <c r="E89" s="170">
        <f t="shared" si="5"/>
        <v>359022</v>
      </c>
      <c r="F89" s="9"/>
    </row>
    <row r="90" spans="1:6" ht="15" hidden="1" customHeight="1" x14ac:dyDescent="0.25">
      <c r="A90" s="460"/>
      <c r="B90" s="13" t="s">
        <v>76</v>
      </c>
      <c r="C90" s="168">
        <v>59614</v>
      </c>
      <c r="D90" s="169">
        <v>303513</v>
      </c>
      <c r="E90" s="170">
        <f t="shared" si="5"/>
        <v>363127</v>
      </c>
      <c r="F90" s="9"/>
    </row>
    <row r="91" spans="1:6" ht="15" hidden="1" customHeight="1" x14ac:dyDescent="0.25">
      <c r="A91" s="460"/>
      <c r="B91" s="13" t="s">
        <v>77</v>
      </c>
      <c r="C91" s="168">
        <v>54560</v>
      </c>
      <c r="D91" s="169">
        <v>297518</v>
      </c>
      <c r="E91" s="170">
        <f t="shared" si="5"/>
        <v>352078</v>
      </c>
      <c r="F91" s="9"/>
    </row>
    <row r="92" spans="1:6" ht="15" hidden="1" customHeight="1" x14ac:dyDescent="0.25">
      <c r="A92" s="460"/>
      <c r="B92" s="13" t="s">
        <v>78</v>
      </c>
      <c r="C92" s="168">
        <v>59714</v>
      </c>
      <c r="D92" s="169">
        <v>352436</v>
      </c>
      <c r="E92" s="170">
        <f t="shared" si="5"/>
        <v>412150</v>
      </c>
      <c r="F92" s="9"/>
    </row>
    <row r="93" spans="1:6" ht="15" hidden="1" customHeight="1" x14ac:dyDescent="0.25">
      <c r="A93" s="460"/>
      <c r="B93" s="13" t="s">
        <v>79</v>
      </c>
      <c r="C93" s="168">
        <v>53012</v>
      </c>
      <c r="D93" s="169">
        <v>351309</v>
      </c>
      <c r="E93" s="170">
        <f t="shared" si="5"/>
        <v>404321</v>
      </c>
      <c r="F93" s="9"/>
    </row>
    <row r="94" spans="1:6" ht="15" hidden="1" customHeight="1" x14ac:dyDescent="0.25">
      <c r="A94" s="460"/>
      <c r="B94" s="13" t="s">
        <v>81</v>
      </c>
      <c r="C94" s="168">
        <v>63895</v>
      </c>
      <c r="D94" s="169">
        <v>357215</v>
      </c>
      <c r="E94" s="170">
        <f t="shared" si="5"/>
        <v>421110</v>
      </c>
      <c r="F94" s="9"/>
    </row>
    <row r="95" spans="1:6" ht="15" hidden="1" customHeight="1" thickBot="1" x14ac:dyDescent="0.3">
      <c r="A95" s="461"/>
      <c r="B95" s="14" t="s">
        <v>82</v>
      </c>
      <c r="C95" s="171">
        <v>53361</v>
      </c>
      <c r="D95" s="172">
        <v>355276</v>
      </c>
      <c r="E95" s="173">
        <f t="shared" si="5"/>
        <v>408637</v>
      </c>
      <c r="F95" s="9"/>
    </row>
    <row r="96" spans="1:6" ht="21.75" hidden="1" customHeight="1" thickTop="1" thickBot="1" x14ac:dyDescent="0.3">
      <c r="A96" s="10"/>
      <c r="B96" s="11" t="s">
        <v>0</v>
      </c>
      <c r="C96" s="174">
        <f>SUM(C84:C95)</f>
        <v>688939</v>
      </c>
      <c r="D96" s="175">
        <f>SUM(D84:D95)</f>
        <v>3817336</v>
      </c>
      <c r="E96" s="176">
        <f>SUM(E84:E95)</f>
        <v>4506275</v>
      </c>
      <c r="F96" s="9"/>
    </row>
    <row r="97" spans="1:6" ht="13.5" hidden="1" customHeight="1" thickBot="1" x14ac:dyDescent="0.3">
      <c r="A97" s="2"/>
      <c r="B97" s="7"/>
      <c r="C97" s="2"/>
      <c r="D97" s="2"/>
      <c r="E97" s="2"/>
      <c r="F97" s="15"/>
    </row>
    <row r="98" spans="1:6" ht="13.5" hidden="1" customHeight="1" x14ac:dyDescent="0.25">
      <c r="A98" s="451"/>
      <c r="B98" s="452"/>
      <c r="C98" s="457" t="s">
        <v>16</v>
      </c>
      <c r="D98" s="455" t="s">
        <v>15</v>
      </c>
      <c r="E98" s="449" t="s">
        <v>0</v>
      </c>
      <c r="F98" s="8"/>
    </row>
    <row r="99" spans="1:6" ht="14.25" hidden="1" customHeight="1" thickBot="1" x14ac:dyDescent="0.3">
      <c r="A99" s="453"/>
      <c r="B99" s="454"/>
      <c r="C99" s="458"/>
      <c r="D99" s="456"/>
      <c r="E99" s="450"/>
      <c r="F99" s="8"/>
    </row>
    <row r="100" spans="1:6" ht="15" hidden="1" customHeight="1" x14ac:dyDescent="0.25">
      <c r="A100" s="459" t="s">
        <v>67</v>
      </c>
      <c r="B100" s="12">
        <v>1</v>
      </c>
      <c r="C100" s="165">
        <v>49852</v>
      </c>
      <c r="D100" s="166">
        <v>260687</v>
      </c>
      <c r="E100" s="167">
        <f t="shared" ref="E100:E111" si="6">C100+D100</f>
        <v>310539</v>
      </c>
      <c r="F100" s="9"/>
    </row>
    <row r="101" spans="1:6" ht="15" hidden="1" customHeight="1" x14ac:dyDescent="0.25">
      <c r="A101" s="460"/>
      <c r="B101" s="13" t="s">
        <v>70</v>
      </c>
      <c r="C101" s="168">
        <v>48844</v>
      </c>
      <c r="D101" s="169">
        <v>282362</v>
      </c>
      <c r="E101" s="170">
        <f t="shared" si="6"/>
        <v>331206</v>
      </c>
      <c r="F101" s="9"/>
    </row>
    <row r="102" spans="1:6" ht="15" hidden="1" customHeight="1" x14ac:dyDescent="0.25">
      <c r="A102" s="460"/>
      <c r="B102" s="13">
        <v>3</v>
      </c>
      <c r="C102" s="168">
        <v>62166</v>
      </c>
      <c r="D102" s="169">
        <v>372265</v>
      </c>
      <c r="E102" s="170">
        <f t="shared" si="6"/>
        <v>434431</v>
      </c>
      <c r="F102" s="9"/>
    </row>
    <row r="103" spans="1:6" ht="15" hidden="1" customHeight="1" x14ac:dyDescent="0.25">
      <c r="A103" s="460"/>
      <c r="B103" s="13" t="s">
        <v>71</v>
      </c>
      <c r="C103" s="168">
        <v>59465</v>
      </c>
      <c r="D103" s="169">
        <v>349654</v>
      </c>
      <c r="E103" s="170">
        <f t="shared" si="6"/>
        <v>409119</v>
      </c>
      <c r="F103" s="9"/>
    </row>
    <row r="104" spans="1:6" ht="15" hidden="1" customHeight="1" x14ac:dyDescent="0.25">
      <c r="A104" s="460"/>
      <c r="B104" s="13" t="s">
        <v>72</v>
      </c>
      <c r="C104" s="168">
        <v>60827</v>
      </c>
      <c r="D104" s="169">
        <v>361957</v>
      </c>
      <c r="E104" s="170">
        <f t="shared" si="6"/>
        <v>422784</v>
      </c>
      <c r="F104" s="9"/>
    </row>
    <row r="105" spans="1:6" ht="15" hidden="1" customHeight="1" x14ac:dyDescent="0.25">
      <c r="A105" s="460"/>
      <c r="B105" s="13" t="s">
        <v>73</v>
      </c>
      <c r="C105" s="168">
        <v>69970</v>
      </c>
      <c r="D105" s="169">
        <v>362903</v>
      </c>
      <c r="E105" s="170">
        <f t="shared" si="6"/>
        <v>432873</v>
      </c>
      <c r="F105" s="9"/>
    </row>
    <row r="106" spans="1:6" ht="15" hidden="1" customHeight="1" x14ac:dyDescent="0.25">
      <c r="A106" s="460"/>
      <c r="B106" s="13" t="s">
        <v>76</v>
      </c>
      <c r="C106" s="168">
        <v>47879</v>
      </c>
      <c r="D106" s="169">
        <v>301864</v>
      </c>
      <c r="E106" s="170">
        <f t="shared" si="6"/>
        <v>349743</v>
      </c>
      <c r="F106" s="9"/>
    </row>
    <row r="107" spans="1:6" ht="15" hidden="1" customHeight="1" x14ac:dyDescent="0.25">
      <c r="A107" s="460"/>
      <c r="B107" s="13" t="s">
        <v>77</v>
      </c>
      <c r="C107" s="168">
        <v>42112</v>
      </c>
      <c r="D107" s="169">
        <v>324030</v>
      </c>
      <c r="E107" s="170">
        <f t="shared" si="6"/>
        <v>366142</v>
      </c>
      <c r="F107" s="9"/>
    </row>
    <row r="108" spans="1:6" ht="15" hidden="1" customHeight="1" x14ac:dyDescent="0.25">
      <c r="A108" s="460"/>
      <c r="B108" s="13" t="s">
        <v>78</v>
      </c>
      <c r="C108" s="168">
        <v>41548</v>
      </c>
      <c r="D108" s="169">
        <v>365856</v>
      </c>
      <c r="E108" s="170">
        <f t="shared" si="6"/>
        <v>407404</v>
      </c>
      <c r="F108" s="9"/>
    </row>
    <row r="109" spans="1:6" ht="15" hidden="1" customHeight="1" x14ac:dyDescent="0.25">
      <c r="A109" s="460"/>
      <c r="B109" s="13" t="s">
        <v>79</v>
      </c>
      <c r="C109" s="168">
        <v>47186</v>
      </c>
      <c r="D109" s="169">
        <v>355695</v>
      </c>
      <c r="E109" s="170">
        <f t="shared" si="6"/>
        <v>402881</v>
      </c>
      <c r="F109" s="9"/>
    </row>
    <row r="110" spans="1:6" ht="15" hidden="1" customHeight="1" x14ac:dyDescent="0.25">
      <c r="A110" s="460"/>
      <c r="B110" s="13" t="s">
        <v>81</v>
      </c>
      <c r="C110" s="168">
        <v>56632</v>
      </c>
      <c r="D110" s="169">
        <v>403938</v>
      </c>
      <c r="E110" s="170">
        <f t="shared" si="6"/>
        <v>460570</v>
      </c>
      <c r="F110" s="9"/>
    </row>
    <row r="111" spans="1:6" ht="15" hidden="1" customHeight="1" thickBot="1" x14ac:dyDescent="0.3">
      <c r="A111" s="461"/>
      <c r="B111" s="14" t="s">
        <v>82</v>
      </c>
      <c r="C111" s="171">
        <v>72161</v>
      </c>
      <c r="D111" s="172">
        <v>415689</v>
      </c>
      <c r="E111" s="173">
        <f t="shared" si="6"/>
        <v>487850</v>
      </c>
      <c r="F111" s="9"/>
    </row>
    <row r="112" spans="1:6" ht="21.75" hidden="1" customHeight="1" thickTop="1" thickBot="1" x14ac:dyDescent="0.3">
      <c r="A112" s="10"/>
      <c r="B112" s="11" t="s">
        <v>0</v>
      </c>
      <c r="C112" s="174">
        <f>SUM(C100:C111)</f>
        <v>658642</v>
      </c>
      <c r="D112" s="175">
        <v>4156900</v>
      </c>
      <c r="E112" s="176">
        <f>SUM(E100:E111)</f>
        <v>4815542</v>
      </c>
      <c r="F112" s="9"/>
    </row>
    <row r="113" spans="1:6" ht="13.5" hidden="1" customHeight="1" x14ac:dyDescent="0.25">
      <c r="A113" s="2"/>
      <c r="B113" s="7"/>
      <c r="C113" s="2"/>
      <c r="D113" s="2"/>
      <c r="E113" s="2"/>
      <c r="F113" s="15"/>
    </row>
  </sheetData>
  <mergeCells count="35">
    <mergeCell ref="E2:E3"/>
    <mergeCell ref="A4:A15"/>
    <mergeCell ref="A100:A111"/>
    <mergeCell ref="A98:B99"/>
    <mergeCell ref="C98:C99"/>
    <mergeCell ref="E98:E99"/>
    <mergeCell ref="E82:E83"/>
    <mergeCell ref="A18:B19"/>
    <mergeCell ref="C18:C19"/>
    <mergeCell ref="D18:D19"/>
    <mergeCell ref="E18:E19"/>
    <mergeCell ref="A20:A31"/>
    <mergeCell ref="E34:E35"/>
    <mergeCell ref="A36:A47"/>
    <mergeCell ref="A66:B67"/>
    <mergeCell ref="A84:A95"/>
    <mergeCell ref="A2:B3"/>
    <mergeCell ref="C2:C3"/>
    <mergeCell ref="D2:D3"/>
    <mergeCell ref="A82:B83"/>
    <mergeCell ref="A52:A63"/>
    <mergeCell ref="C50:C51"/>
    <mergeCell ref="D50:D51"/>
    <mergeCell ref="D82:D83"/>
    <mergeCell ref="A68:A79"/>
    <mergeCell ref="A34:B35"/>
    <mergeCell ref="C34:C35"/>
    <mergeCell ref="E50:E51"/>
    <mergeCell ref="A50:B51"/>
    <mergeCell ref="D34:D35"/>
    <mergeCell ref="E66:E67"/>
    <mergeCell ref="D98:D99"/>
    <mergeCell ref="C82:C83"/>
    <mergeCell ref="C66:C67"/>
    <mergeCell ref="D66:D67"/>
  </mergeCells>
  <phoneticPr fontId="2" type="noConversion"/>
  <pageMargins left="0.19685039370078741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종합</vt:lpstr>
      <vt:lpstr> 내수</vt:lpstr>
      <vt:lpstr>6월</vt:lpstr>
      <vt:lpstr>⊙카메라</vt:lpstr>
      <vt:lpstr>' 내수'!Print_Area</vt:lpstr>
      <vt:lpstr>⊙카메라!Print_Area</vt:lpstr>
      <vt:lpstr>'6월'!Print_Area</vt:lpstr>
      <vt:lpstr>종합!Print_Area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황하람</dc:creator>
  <cp:lastModifiedBy>황하람</cp:lastModifiedBy>
  <cp:lastPrinted>2022-07-01T05:15:22Z</cp:lastPrinted>
  <dcterms:created xsi:type="dcterms:W3CDTF">2010-01-21T08:58:48Z</dcterms:created>
  <dcterms:modified xsi:type="dcterms:W3CDTF">2022-07-01T05:15:30Z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c787f-039f-4287-bd0c-30008109edfc_Enabled">
    <vt:lpwstr>true</vt:lpwstr>
  </property>
  <property fmtid="{D5CDD505-2E9C-101B-9397-08002B2CF9AE}" pid="3" name="MSIP_Label_425c787f-039f-4287-bd0c-30008109edfc_SetDate">
    <vt:lpwstr>2020-08-31T09:16:22Z</vt:lpwstr>
  </property>
  <property fmtid="{D5CDD505-2E9C-101B-9397-08002B2CF9AE}" pid="4" name="MSIP_Label_425c787f-039f-4287-bd0c-30008109edfc_Method">
    <vt:lpwstr>Standard</vt:lpwstr>
  </property>
  <property fmtid="{D5CDD505-2E9C-101B-9397-08002B2CF9AE}" pid="5" name="MSIP_Label_425c787f-039f-4287-bd0c-30008109edfc_Name">
    <vt:lpwstr>사내한(평문)</vt:lpwstr>
  </property>
  <property fmtid="{D5CDD505-2E9C-101B-9397-08002B2CF9AE}" pid="6" name="MSIP_Label_425c787f-039f-4287-bd0c-30008109edfc_SiteId">
    <vt:lpwstr>f85ca5f1-aa23-4252-a83a-443d333b1fe7</vt:lpwstr>
  </property>
  <property fmtid="{D5CDD505-2E9C-101B-9397-08002B2CF9AE}" pid="7" name="MSIP_Label_425c787f-039f-4287-bd0c-30008109edfc_ActionId">
    <vt:lpwstr>d29be969-3aa5-4e49-84f2-d6ae55109941</vt:lpwstr>
  </property>
  <property fmtid="{D5CDD505-2E9C-101B-9397-08002B2CF9AE}" pid="8" name="MSIP_Label_425c787f-039f-4287-bd0c-30008109edfc_ContentBits">
    <vt:lpwstr>0</vt:lpwstr>
  </property>
</Properties>
</file>