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20998\OneDrive - Hyundai Motor and Kia\바탕 화면\데이터\실적\10월\"/>
    </mc:Choice>
  </mc:AlternateContent>
  <xr:revisionPtr revIDLastSave="0" documentId="13_ncr:1_{7678D13A-D277-4C0C-85C9-0541328BEA28}" xr6:coauthVersionLast="44" xr6:coauthVersionMax="44" xr10:uidLastSave="{00000000-0000-0000-0000-000000000000}"/>
  <bookViews>
    <workbookView xWindow="-22032" yWindow="144" windowWidth="21468" windowHeight="12216" xr2:uid="{00000000-000D-0000-FFFF-FFFF00000000}"/>
  </bookViews>
  <sheets>
    <sheet name="종합" sheetId="1" r:id="rId1"/>
    <sheet name="10월" sheetId="25" r:id="rId2"/>
    <sheet name=" 내수" sheetId="3" r:id="rId3"/>
    <sheet name="⊙카메라" sheetId="2" r:id="rId4"/>
  </sheets>
  <definedNames>
    <definedName name="_xlnm.Print_Area" localSheetId="2">' 내수'!$B$1:$P$387</definedName>
    <definedName name="_xlnm.Print_Area" localSheetId="3">⊙카메라!$A$17:$E$96</definedName>
    <definedName name="_xlnm.Print_Area" localSheetId="1">'10월'!$A$1:$L$66</definedName>
    <definedName name="_xlnm.Print_Area" localSheetId="0">종합!$B$1:$K$43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2" l="1"/>
  <c r="J36" i="25" l="1"/>
  <c r="J35" i="25"/>
  <c r="J28" i="25"/>
  <c r="J25" i="25"/>
  <c r="J21" i="25"/>
  <c r="J12" i="25"/>
  <c r="E36" i="25" l="1"/>
  <c r="E35" i="25"/>
  <c r="E28" i="25"/>
  <c r="E25" i="25"/>
  <c r="E21" i="25"/>
  <c r="E12" i="25"/>
  <c r="J63" i="25" l="1"/>
  <c r="E63" i="25"/>
  <c r="J53" i="25"/>
  <c r="E53" i="25"/>
  <c r="J44" i="25"/>
  <c r="J66" i="25" s="1"/>
  <c r="E44" i="25"/>
  <c r="E66" i="25" s="1"/>
  <c r="L66" i="25"/>
  <c r="L63" i="25"/>
  <c r="L53" i="25"/>
  <c r="L44" i="25"/>
  <c r="H53" i="25"/>
  <c r="H66" i="25"/>
  <c r="H63" i="25"/>
  <c r="H44" i="25"/>
  <c r="L36" i="25"/>
  <c r="L35" i="25"/>
  <c r="L28" i="25"/>
  <c r="L25" i="25"/>
  <c r="L21" i="25"/>
  <c r="L12" i="25"/>
  <c r="D12" i="2"/>
  <c r="D11" i="2"/>
  <c r="H36" i="25"/>
  <c r="H35" i="25"/>
  <c r="H28" i="25"/>
  <c r="H25" i="25"/>
  <c r="H21" i="25"/>
  <c r="H12" i="25"/>
  <c r="I66" i="25"/>
  <c r="I63" i="25"/>
  <c r="I53" i="25"/>
  <c r="I44" i="25"/>
  <c r="I36" i="25"/>
  <c r="I35" i="25"/>
  <c r="I28" i="25"/>
  <c r="I25" i="25"/>
  <c r="I21" i="25"/>
  <c r="I12" i="25"/>
  <c r="I8" i="1" l="1"/>
  <c r="G8" i="1"/>
  <c r="D8" i="1"/>
  <c r="J39" i="25"/>
  <c r="I39" i="25"/>
  <c r="E12" i="2"/>
  <c r="E39" i="25"/>
  <c r="J8" i="1" l="1"/>
  <c r="E8" i="1"/>
  <c r="L39" i="25"/>
  <c r="H39" i="25" l="1"/>
  <c r="E11" i="2" l="1"/>
  <c r="P10" i="3" l="1"/>
  <c r="K10" i="25"/>
  <c r="G10" i="25"/>
  <c r="F10" i="25"/>
  <c r="K55" i="25" l="1"/>
  <c r="F55" i="25"/>
  <c r="K12" i="3" l="1"/>
  <c r="K21" i="3"/>
  <c r="O678" i="3" l="1"/>
  <c r="N678" i="3"/>
  <c r="M678" i="3"/>
  <c r="L678" i="3"/>
  <c r="K678" i="3"/>
  <c r="J678" i="3"/>
  <c r="I678" i="3"/>
  <c r="H678" i="3"/>
  <c r="G678" i="3"/>
  <c r="F678" i="3"/>
  <c r="E678" i="3"/>
  <c r="D678" i="3"/>
  <c r="P677" i="3"/>
  <c r="P676" i="3"/>
  <c r="P678" i="3" s="1"/>
  <c r="O675" i="3"/>
  <c r="N675" i="3"/>
  <c r="M675" i="3"/>
  <c r="L675" i="3"/>
  <c r="K675" i="3"/>
  <c r="J675" i="3"/>
  <c r="I675" i="3"/>
  <c r="H675" i="3"/>
  <c r="G675" i="3"/>
  <c r="F675" i="3"/>
  <c r="E675" i="3"/>
  <c r="D675" i="3"/>
  <c r="P674" i="3"/>
  <c r="P673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P671" i="3"/>
  <c r="P670" i="3"/>
  <c r="P669" i="3"/>
  <c r="P668" i="3"/>
  <c r="P672" i="3" s="1"/>
  <c r="O667" i="3"/>
  <c r="N667" i="3"/>
  <c r="M667" i="3"/>
  <c r="L667" i="3"/>
  <c r="K667" i="3"/>
  <c r="J667" i="3"/>
  <c r="I667" i="3"/>
  <c r="H667" i="3"/>
  <c r="G667" i="3"/>
  <c r="F667" i="3"/>
  <c r="E667" i="3"/>
  <c r="D667" i="3"/>
  <c r="P666" i="3"/>
  <c r="P665" i="3"/>
  <c r="P664" i="3"/>
  <c r="P663" i="3"/>
  <c r="P662" i="3"/>
  <c r="P661" i="3"/>
  <c r="P660" i="3"/>
  <c r="P659" i="3"/>
  <c r="P658" i="3"/>
  <c r="P657" i="3"/>
  <c r="P656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P650" i="3"/>
  <c r="P649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P647" i="3"/>
  <c r="P646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P644" i="3"/>
  <c r="P643" i="3"/>
  <c r="P642" i="3"/>
  <c r="P641" i="3"/>
  <c r="O640" i="3"/>
  <c r="N640" i="3"/>
  <c r="M640" i="3"/>
  <c r="L640" i="3"/>
  <c r="K640" i="3"/>
  <c r="J640" i="3"/>
  <c r="I640" i="3"/>
  <c r="H640" i="3"/>
  <c r="G640" i="3"/>
  <c r="G652" i="3" s="1"/>
  <c r="F640" i="3"/>
  <c r="E640" i="3"/>
  <c r="D640" i="3"/>
  <c r="P639" i="3"/>
  <c r="P638" i="3"/>
  <c r="P637" i="3"/>
  <c r="P636" i="3"/>
  <c r="P635" i="3"/>
  <c r="P634" i="3"/>
  <c r="P633" i="3"/>
  <c r="P632" i="3"/>
  <c r="P631" i="3"/>
  <c r="P630" i="3"/>
  <c r="P629" i="3"/>
  <c r="P628" i="3"/>
  <c r="P627" i="3"/>
  <c r="P623" i="3"/>
  <c r="P622" i="3" s="1"/>
  <c r="O622" i="3"/>
  <c r="N622" i="3"/>
  <c r="N596" i="3" s="1"/>
  <c r="M622" i="3"/>
  <c r="M596" i="3" s="1"/>
  <c r="L622" i="3"/>
  <c r="L596" i="3" s="1"/>
  <c r="K622" i="3"/>
  <c r="K596" i="3" s="1"/>
  <c r="J622" i="3"/>
  <c r="J596" i="3" s="1"/>
  <c r="I622" i="3"/>
  <c r="I596" i="3" s="1"/>
  <c r="H622" i="3"/>
  <c r="G622" i="3"/>
  <c r="F622" i="3"/>
  <c r="F596" i="3" s="1"/>
  <c r="E622" i="3"/>
  <c r="E596" i="3" s="1"/>
  <c r="D622" i="3"/>
  <c r="D596" i="3" s="1"/>
  <c r="P620" i="3"/>
  <c r="P619" i="3"/>
  <c r="P618" i="3"/>
  <c r="O617" i="3"/>
  <c r="N617" i="3"/>
  <c r="M617" i="3"/>
  <c r="M594" i="3" s="1"/>
  <c r="L617" i="3"/>
  <c r="L594" i="3" s="1"/>
  <c r="K617" i="3"/>
  <c r="K594" i="3" s="1"/>
  <c r="J617" i="3"/>
  <c r="J594" i="3" s="1"/>
  <c r="I617" i="3"/>
  <c r="I594" i="3" s="1"/>
  <c r="H617" i="3"/>
  <c r="H594" i="3" s="1"/>
  <c r="G617" i="3"/>
  <c r="G594" i="3" s="1"/>
  <c r="F617" i="3"/>
  <c r="E617" i="3"/>
  <c r="E594" i="3" s="1"/>
  <c r="D617" i="3"/>
  <c r="P615" i="3"/>
  <c r="P614" i="3"/>
  <c r="O613" i="3"/>
  <c r="O592" i="3" s="1"/>
  <c r="N613" i="3"/>
  <c r="N592" i="3" s="1"/>
  <c r="M613" i="3"/>
  <c r="M592" i="3" s="1"/>
  <c r="L613" i="3"/>
  <c r="K613" i="3"/>
  <c r="K592" i="3" s="1"/>
  <c r="J613" i="3"/>
  <c r="I613" i="3"/>
  <c r="I592" i="3" s="1"/>
  <c r="H613" i="3"/>
  <c r="H592" i="3" s="1"/>
  <c r="G613" i="3"/>
  <c r="G592" i="3" s="1"/>
  <c r="F613" i="3"/>
  <c r="F592" i="3" s="1"/>
  <c r="E613" i="3"/>
  <c r="E592" i="3" s="1"/>
  <c r="D613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P609" i="3"/>
  <c r="P608" i="3"/>
  <c r="P610" i="3" s="1"/>
  <c r="O607" i="3"/>
  <c r="N607" i="3"/>
  <c r="M607" i="3"/>
  <c r="L607" i="3"/>
  <c r="K607" i="3"/>
  <c r="J607" i="3"/>
  <c r="I607" i="3"/>
  <c r="H607" i="3"/>
  <c r="G607" i="3"/>
  <c r="F607" i="3"/>
  <c r="E607" i="3"/>
  <c r="D607" i="3"/>
  <c r="P606" i="3"/>
  <c r="P605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P603" i="3"/>
  <c r="P602" i="3"/>
  <c r="P601" i="3"/>
  <c r="P599" i="3"/>
  <c r="P598" i="3"/>
  <c r="P597" i="3"/>
  <c r="O596" i="3"/>
  <c r="H596" i="3"/>
  <c r="G596" i="3"/>
  <c r="P595" i="3"/>
  <c r="O594" i="3"/>
  <c r="N594" i="3"/>
  <c r="F594" i="3"/>
  <c r="D594" i="3"/>
  <c r="P593" i="3"/>
  <c r="L592" i="3"/>
  <c r="J592" i="3"/>
  <c r="D592" i="3"/>
  <c r="P591" i="3"/>
  <c r="P590" i="3"/>
  <c r="P589" i="3"/>
  <c r="P588" i="3"/>
  <c r="P584" i="3"/>
  <c r="P583" i="3"/>
  <c r="O582" i="3"/>
  <c r="N582" i="3"/>
  <c r="M582" i="3"/>
  <c r="L582" i="3"/>
  <c r="K582" i="3"/>
  <c r="J582" i="3"/>
  <c r="I582" i="3"/>
  <c r="I558" i="3" s="1"/>
  <c r="I560" i="3" s="1"/>
  <c r="H582" i="3"/>
  <c r="H558" i="3" s="1"/>
  <c r="P580" i="3"/>
  <c r="P579" i="3"/>
  <c r="O578" i="3"/>
  <c r="O551" i="3" s="1"/>
  <c r="N578" i="3"/>
  <c r="N551" i="3" s="1"/>
  <c r="M578" i="3"/>
  <c r="L578" i="3"/>
  <c r="L551" i="3" s="1"/>
  <c r="K578" i="3"/>
  <c r="K551" i="3" s="1"/>
  <c r="J578" i="3"/>
  <c r="I578" i="3"/>
  <c r="I551" i="3" s="1"/>
  <c r="H578" i="3"/>
  <c r="H551" i="3" s="1"/>
  <c r="G578" i="3"/>
  <c r="F578" i="3"/>
  <c r="F551" i="3" s="1"/>
  <c r="D578" i="3"/>
  <c r="D551" i="3" s="1"/>
  <c r="P576" i="3"/>
  <c r="P575" i="3"/>
  <c r="P574" i="3"/>
  <c r="O573" i="3"/>
  <c r="O550" i="3" s="1"/>
  <c r="N573" i="3"/>
  <c r="N550" i="3" s="1"/>
  <c r="M573" i="3"/>
  <c r="M550" i="3" s="1"/>
  <c r="L573" i="3"/>
  <c r="L550" i="3" s="1"/>
  <c r="K573" i="3"/>
  <c r="K550" i="3" s="1"/>
  <c r="J573" i="3"/>
  <c r="J550" i="3" s="1"/>
  <c r="I573" i="3"/>
  <c r="I550" i="3" s="1"/>
  <c r="H573" i="3"/>
  <c r="H550" i="3" s="1"/>
  <c r="G573" i="3"/>
  <c r="G550" i="3" s="1"/>
  <c r="F573" i="3"/>
  <c r="F550" i="3" s="1"/>
  <c r="E573" i="3"/>
  <c r="D573" i="3"/>
  <c r="D550" i="3" s="1"/>
  <c r="P571" i="3"/>
  <c r="P570" i="3"/>
  <c r="O569" i="3"/>
  <c r="O548" i="3" s="1"/>
  <c r="N569" i="3"/>
  <c r="M569" i="3"/>
  <c r="M548" i="3" s="1"/>
  <c r="L569" i="3"/>
  <c r="L548" i="3" s="1"/>
  <c r="K569" i="3"/>
  <c r="K548" i="3" s="1"/>
  <c r="J569" i="3"/>
  <c r="J548" i="3" s="1"/>
  <c r="I569" i="3"/>
  <c r="I548" i="3" s="1"/>
  <c r="H569" i="3"/>
  <c r="H548" i="3" s="1"/>
  <c r="G569" i="3"/>
  <c r="G548" i="3" s="1"/>
  <c r="F569" i="3"/>
  <c r="F548" i="3" s="1"/>
  <c r="E569" i="3"/>
  <c r="E548" i="3" s="1"/>
  <c r="D569" i="3"/>
  <c r="D548" i="3" s="1"/>
  <c r="O566" i="3"/>
  <c r="N566" i="3"/>
  <c r="M566" i="3"/>
  <c r="L566" i="3"/>
  <c r="K566" i="3"/>
  <c r="J566" i="3"/>
  <c r="I566" i="3"/>
  <c r="H566" i="3"/>
  <c r="G566" i="3"/>
  <c r="F566" i="3"/>
  <c r="E566" i="3"/>
  <c r="D566" i="3"/>
  <c r="P565" i="3"/>
  <c r="P564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P562" i="3"/>
  <c r="P561" i="3"/>
  <c r="O560" i="3"/>
  <c r="N560" i="3"/>
  <c r="M560" i="3"/>
  <c r="L560" i="3"/>
  <c r="K560" i="3"/>
  <c r="J560" i="3"/>
  <c r="G560" i="3"/>
  <c r="F560" i="3"/>
  <c r="E560" i="3"/>
  <c r="D560" i="3"/>
  <c r="P559" i="3"/>
  <c r="P557" i="3"/>
  <c r="P555" i="3"/>
  <c r="P554" i="3"/>
  <c r="P553" i="3"/>
  <c r="P552" i="3"/>
  <c r="J551" i="3"/>
  <c r="E551" i="3"/>
  <c r="E550" i="3"/>
  <c r="P549" i="3"/>
  <c r="N548" i="3"/>
  <c r="P547" i="3"/>
  <c r="P546" i="3"/>
  <c r="P545" i="3"/>
  <c r="P544" i="3"/>
  <c r="P540" i="3"/>
  <c r="O539" i="3"/>
  <c r="O537" i="3" s="1"/>
  <c r="O513" i="3" s="1"/>
  <c r="K539" i="3"/>
  <c r="J539" i="3"/>
  <c r="J537" i="3" s="1"/>
  <c r="J513" i="3" s="1"/>
  <c r="I539" i="3"/>
  <c r="H539" i="3"/>
  <c r="G539" i="3"/>
  <c r="F539" i="3"/>
  <c r="E539" i="3"/>
  <c r="K538" i="3"/>
  <c r="I538" i="3"/>
  <c r="H538" i="3"/>
  <c r="G538" i="3"/>
  <c r="F538" i="3"/>
  <c r="F537" i="3" s="1"/>
  <c r="F513" i="3" s="1"/>
  <c r="E538" i="3"/>
  <c r="E537" i="3" s="1"/>
  <c r="E513" i="3" s="1"/>
  <c r="N537" i="3"/>
  <c r="M537" i="3"/>
  <c r="M513" i="3" s="1"/>
  <c r="L537" i="3"/>
  <c r="L513" i="3" s="1"/>
  <c r="D537" i="3"/>
  <c r="D513" i="3" s="1"/>
  <c r="P535" i="3"/>
  <c r="M534" i="3"/>
  <c r="M533" i="3" s="1"/>
  <c r="M511" i="3" s="1"/>
  <c r="K534" i="3"/>
  <c r="K533" i="3" s="1"/>
  <c r="K511" i="3" s="1"/>
  <c r="J534" i="3"/>
  <c r="J533" i="3" s="1"/>
  <c r="J511" i="3" s="1"/>
  <c r="I534" i="3"/>
  <c r="H534" i="3"/>
  <c r="H533" i="3" s="1"/>
  <c r="H511" i="3" s="1"/>
  <c r="G534" i="3"/>
  <c r="O533" i="3"/>
  <c r="O511" i="3" s="1"/>
  <c r="N533" i="3"/>
  <c r="L533" i="3"/>
  <c r="I533" i="3"/>
  <c r="I511" i="3" s="1"/>
  <c r="F533" i="3"/>
  <c r="F511" i="3" s="1"/>
  <c r="E533" i="3"/>
  <c r="D533" i="3"/>
  <c r="D511" i="3" s="1"/>
  <c r="O530" i="3"/>
  <c r="N530" i="3"/>
  <c r="M530" i="3"/>
  <c r="L530" i="3"/>
  <c r="K530" i="3"/>
  <c r="J530" i="3"/>
  <c r="I530" i="3"/>
  <c r="H530" i="3"/>
  <c r="G530" i="3"/>
  <c r="F530" i="3"/>
  <c r="E530" i="3"/>
  <c r="D530" i="3"/>
  <c r="P529" i="3"/>
  <c r="P528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P526" i="3"/>
  <c r="P525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P523" i="3"/>
  <c r="P522" i="3"/>
  <c r="P521" i="3"/>
  <c r="P520" i="3"/>
  <c r="P518" i="3"/>
  <c r="P517" i="3"/>
  <c r="O516" i="3"/>
  <c r="P516" i="3" s="1"/>
  <c r="O515" i="3"/>
  <c r="K515" i="3"/>
  <c r="J515" i="3"/>
  <c r="I515" i="3"/>
  <c r="H515" i="3"/>
  <c r="G515" i="3"/>
  <c r="F515" i="3"/>
  <c r="E515" i="3"/>
  <c r="P514" i="3"/>
  <c r="N513" i="3"/>
  <c r="P512" i="3"/>
  <c r="N511" i="3"/>
  <c r="L511" i="3"/>
  <c r="E511" i="3"/>
  <c r="P510" i="3"/>
  <c r="P509" i="3"/>
  <c r="P505" i="3"/>
  <c r="P504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P501" i="3"/>
  <c r="P500" i="3"/>
  <c r="P499" i="3"/>
  <c r="P498" i="3"/>
  <c r="P497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P494" i="3"/>
  <c r="P493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P488" i="3"/>
  <c r="P487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P485" i="3"/>
  <c r="P484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P482" i="3"/>
  <c r="P481" i="3"/>
  <c r="P480" i="3"/>
  <c r="P479" i="3"/>
  <c r="O478" i="3"/>
  <c r="N478" i="3"/>
  <c r="L478" i="3"/>
  <c r="K478" i="3"/>
  <c r="J478" i="3"/>
  <c r="I478" i="3"/>
  <c r="H478" i="3"/>
  <c r="G478" i="3"/>
  <c r="F478" i="3"/>
  <c r="E478" i="3"/>
  <c r="P477" i="3"/>
  <c r="P476" i="3"/>
  <c r="P475" i="3"/>
  <c r="P474" i="3"/>
  <c r="D473" i="3"/>
  <c r="P473" i="3" s="1"/>
  <c r="P472" i="3"/>
  <c r="M471" i="3"/>
  <c r="M478" i="3" s="1"/>
  <c r="D471" i="3"/>
  <c r="P470" i="3"/>
  <c r="D469" i="3"/>
  <c r="P469" i="3" s="1"/>
  <c r="P468" i="3"/>
  <c r="P467" i="3"/>
  <c r="K537" i="3" l="1"/>
  <c r="K513" i="3" s="1"/>
  <c r="L679" i="3"/>
  <c r="P607" i="3"/>
  <c r="P613" i="3"/>
  <c r="D679" i="3"/>
  <c r="P675" i="3"/>
  <c r="P563" i="3"/>
  <c r="P569" i="3"/>
  <c r="N519" i="3"/>
  <c r="K679" i="3"/>
  <c r="L556" i="3"/>
  <c r="L567" i="3" s="1"/>
  <c r="D600" i="3"/>
  <c r="D611" i="3" s="1"/>
  <c r="E679" i="3"/>
  <c r="M679" i="3"/>
  <c r="P486" i="3"/>
  <c r="P492" i="3"/>
  <c r="O600" i="3"/>
  <c r="I490" i="3"/>
  <c r="P573" i="3"/>
  <c r="L600" i="3"/>
  <c r="L611" i="3" s="1"/>
  <c r="K490" i="3"/>
  <c r="F556" i="3"/>
  <c r="F567" i="3" s="1"/>
  <c r="P617" i="3"/>
  <c r="P648" i="3"/>
  <c r="I652" i="3"/>
  <c r="E556" i="3"/>
  <c r="E567" i="3" s="1"/>
  <c r="M556" i="3"/>
  <c r="M567" i="3" s="1"/>
  <c r="J652" i="3"/>
  <c r="N679" i="3"/>
  <c r="K652" i="3"/>
  <c r="E652" i="3"/>
  <c r="G600" i="3"/>
  <c r="G611" i="3" s="1"/>
  <c r="K600" i="3"/>
  <c r="K611" i="3" s="1"/>
  <c r="I679" i="3"/>
  <c r="M652" i="3"/>
  <c r="F679" i="3"/>
  <c r="L519" i="3"/>
  <c r="L531" i="3" s="1"/>
  <c r="P651" i="3"/>
  <c r="P551" i="3"/>
  <c r="M600" i="3"/>
  <c r="M611" i="3" s="1"/>
  <c r="P566" i="3"/>
  <c r="P582" i="3"/>
  <c r="E600" i="3"/>
  <c r="E611" i="3" s="1"/>
  <c r="N600" i="3"/>
  <c r="N611" i="3" s="1"/>
  <c r="N490" i="3"/>
  <c r="N556" i="3"/>
  <c r="N567" i="3" s="1"/>
  <c r="F600" i="3"/>
  <c r="F611" i="3" s="1"/>
  <c r="O611" i="3"/>
  <c r="D652" i="3"/>
  <c r="L652" i="3"/>
  <c r="G679" i="3"/>
  <c r="O679" i="3"/>
  <c r="F490" i="3"/>
  <c r="O556" i="3"/>
  <c r="O567" i="3" s="1"/>
  <c r="H679" i="3"/>
  <c r="G556" i="3"/>
  <c r="G567" i="3" s="1"/>
  <c r="I556" i="3"/>
  <c r="I567" i="3" s="1"/>
  <c r="P578" i="3"/>
  <c r="H600" i="3"/>
  <c r="H611" i="3" s="1"/>
  <c r="F652" i="3"/>
  <c r="N652" i="3"/>
  <c r="P667" i="3"/>
  <c r="P679" i="3" s="1"/>
  <c r="H556" i="3"/>
  <c r="P640" i="3"/>
  <c r="O652" i="3"/>
  <c r="J679" i="3"/>
  <c r="K556" i="3"/>
  <c r="K567" i="3" s="1"/>
  <c r="P604" i="3"/>
  <c r="I600" i="3"/>
  <c r="I611" i="3" s="1"/>
  <c r="H652" i="3"/>
  <c r="P645" i="3"/>
  <c r="P594" i="3"/>
  <c r="P550" i="3"/>
  <c r="J600" i="3"/>
  <c r="J611" i="3" s="1"/>
  <c r="J556" i="3"/>
  <c r="J567" i="3" s="1"/>
  <c r="P596" i="3"/>
  <c r="P548" i="3"/>
  <c r="H560" i="3"/>
  <c r="P558" i="3"/>
  <c r="P560" i="3" s="1"/>
  <c r="D556" i="3"/>
  <c r="D567" i="3" s="1"/>
  <c r="P592" i="3"/>
  <c r="I537" i="3"/>
  <c r="I513" i="3" s="1"/>
  <c r="I519" i="3" s="1"/>
  <c r="I531" i="3" s="1"/>
  <c r="P471" i="3"/>
  <c r="P478" i="3" s="1"/>
  <c r="G537" i="3"/>
  <c r="G513" i="3" s="1"/>
  <c r="N531" i="3"/>
  <c r="H490" i="3"/>
  <c r="J490" i="3"/>
  <c r="L490" i="3"/>
  <c r="O519" i="3"/>
  <c r="O531" i="3" s="1"/>
  <c r="P489" i="3"/>
  <c r="P530" i="3"/>
  <c r="P515" i="3"/>
  <c r="P534" i="3"/>
  <c r="P533" i="3" s="1"/>
  <c r="H537" i="3"/>
  <c r="H513" i="3" s="1"/>
  <c r="H519" i="3" s="1"/>
  <c r="H531" i="3" s="1"/>
  <c r="E490" i="3"/>
  <c r="M490" i="3"/>
  <c r="O490" i="3"/>
  <c r="E519" i="3"/>
  <c r="E531" i="3" s="1"/>
  <c r="P524" i="3"/>
  <c r="P527" i="3"/>
  <c r="J519" i="3"/>
  <c r="J531" i="3" s="1"/>
  <c r="G490" i="3"/>
  <c r="P483" i="3"/>
  <c r="K519" i="3"/>
  <c r="K531" i="3" s="1"/>
  <c r="P539" i="3"/>
  <c r="P496" i="3"/>
  <c r="P503" i="3"/>
  <c r="M519" i="3"/>
  <c r="M531" i="3" s="1"/>
  <c r="P538" i="3"/>
  <c r="F519" i="3"/>
  <c r="F531" i="3" s="1"/>
  <c r="D478" i="3"/>
  <c r="D490" i="3" s="1"/>
  <c r="G533" i="3"/>
  <c r="G511" i="3" s="1"/>
  <c r="D519" i="3"/>
  <c r="D531" i="3" s="1"/>
  <c r="P652" i="3" l="1"/>
  <c r="P556" i="3"/>
  <c r="G519" i="3"/>
  <c r="G531" i="3" s="1"/>
  <c r="H567" i="3"/>
  <c r="P490" i="3"/>
  <c r="P600" i="3"/>
  <c r="P611" i="3" s="1"/>
  <c r="P513" i="3"/>
  <c r="P567" i="3"/>
  <c r="P537" i="3"/>
  <c r="P511" i="3"/>
  <c r="D10" i="2"/>
  <c r="P519" i="3" l="1"/>
  <c r="P531" i="3" s="1"/>
  <c r="E10" i="2" l="1"/>
  <c r="D9" i="2" l="1"/>
  <c r="D6" i="2" l="1"/>
  <c r="E9" i="2" l="1"/>
  <c r="D8" i="2" l="1"/>
  <c r="E58" i="3" l="1"/>
  <c r="K8" i="1"/>
  <c r="E8" i="2"/>
  <c r="F36" i="25"/>
  <c r="G12" i="25"/>
  <c r="P46" i="3"/>
  <c r="H8" i="1"/>
  <c r="D7" i="2"/>
  <c r="E7" i="2"/>
  <c r="K66" i="25"/>
  <c r="G44" i="25"/>
  <c r="E6" i="2"/>
  <c r="G63" i="25"/>
  <c r="K59" i="25"/>
  <c r="G59" i="25"/>
  <c r="F59" i="25"/>
  <c r="P71" i="3"/>
  <c r="P72" i="3"/>
  <c r="E70" i="3"/>
  <c r="F70" i="3"/>
  <c r="G70" i="3"/>
  <c r="H70" i="3"/>
  <c r="I70" i="3"/>
  <c r="J70" i="3"/>
  <c r="K70" i="3"/>
  <c r="L70" i="3"/>
  <c r="M70" i="3"/>
  <c r="N70" i="3"/>
  <c r="O70" i="3"/>
  <c r="D70" i="3"/>
  <c r="K53" i="25"/>
  <c r="D5" i="2"/>
  <c r="E5" i="2"/>
  <c r="G5" i="1"/>
  <c r="K63" i="25"/>
  <c r="D4" i="2"/>
  <c r="E52" i="3"/>
  <c r="F52" i="3"/>
  <c r="G52" i="3"/>
  <c r="H52" i="3"/>
  <c r="I52" i="3"/>
  <c r="J52" i="3"/>
  <c r="K52" i="3"/>
  <c r="L52" i="3"/>
  <c r="M52" i="3"/>
  <c r="N52" i="3"/>
  <c r="O52" i="3"/>
  <c r="D52" i="3"/>
  <c r="E4" i="2"/>
  <c r="P56" i="3"/>
  <c r="G25" i="25"/>
  <c r="D31" i="2"/>
  <c r="D30" i="2"/>
  <c r="E74" i="3"/>
  <c r="F74" i="3"/>
  <c r="G74" i="3"/>
  <c r="H74" i="3"/>
  <c r="I74" i="3"/>
  <c r="J74" i="3"/>
  <c r="K74" i="3"/>
  <c r="L74" i="3"/>
  <c r="M74" i="3"/>
  <c r="N74" i="3"/>
  <c r="O74" i="3"/>
  <c r="D74" i="3"/>
  <c r="E66" i="3"/>
  <c r="F66" i="3"/>
  <c r="G66" i="3"/>
  <c r="H66" i="3"/>
  <c r="I66" i="3"/>
  <c r="J66" i="3"/>
  <c r="K66" i="3"/>
  <c r="L66" i="3"/>
  <c r="M66" i="3"/>
  <c r="N66" i="3"/>
  <c r="O66" i="3"/>
  <c r="D66" i="3"/>
  <c r="E62" i="3"/>
  <c r="F62" i="3"/>
  <c r="G62" i="3"/>
  <c r="H62" i="3"/>
  <c r="I62" i="3"/>
  <c r="J62" i="3"/>
  <c r="K62" i="3"/>
  <c r="L62" i="3"/>
  <c r="M62" i="3"/>
  <c r="N62" i="3"/>
  <c r="O62" i="3"/>
  <c r="D62" i="3"/>
  <c r="F58" i="3"/>
  <c r="G58" i="3"/>
  <c r="H58" i="3"/>
  <c r="I58" i="3"/>
  <c r="J58" i="3"/>
  <c r="K58" i="3"/>
  <c r="L58" i="3"/>
  <c r="M58" i="3"/>
  <c r="N58" i="3"/>
  <c r="O58" i="3"/>
  <c r="D58" i="3"/>
  <c r="E48" i="3"/>
  <c r="F48" i="3"/>
  <c r="G48" i="3"/>
  <c r="H48" i="3"/>
  <c r="I48" i="3"/>
  <c r="J48" i="3"/>
  <c r="K48" i="3"/>
  <c r="L48" i="3"/>
  <c r="M48" i="3"/>
  <c r="N48" i="3"/>
  <c r="O48" i="3"/>
  <c r="D48" i="3"/>
  <c r="E43" i="3"/>
  <c r="F43" i="3"/>
  <c r="G43" i="3"/>
  <c r="H43" i="3"/>
  <c r="I43" i="3"/>
  <c r="J43" i="3"/>
  <c r="K43" i="3"/>
  <c r="L43" i="3"/>
  <c r="M43" i="3"/>
  <c r="N43" i="3"/>
  <c r="O43" i="3"/>
  <c r="D43" i="3"/>
  <c r="E38" i="3"/>
  <c r="F38" i="3"/>
  <c r="G38" i="3"/>
  <c r="H38" i="3"/>
  <c r="I38" i="3"/>
  <c r="J38" i="3"/>
  <c r="K38" i="3"/>
  <c r="L38" i="3"/>
  <c r="M38" i="3"/>
  <c r="N38" i="3"/>
  <c r="O38" i="3"/>
  <c r="D38" i="3"/>
  <c r="E35" i="3"/>
  <c r="F35" i="3"/>
  <c r="G35" i="3"/>
  <c r="H35" i="3"/>
  <c r="I35" i="3"/>
  <c r="J35" i="3"/>
  <c r="K35" i="3"/>
  <c r="L35" i="3"/>
  <c r="M35" i="3"/>
  <c r="N35" i="3"/>
  <c r="O35" i="3"/>
  <c r="D35" i="3"/>
  <c r="E28" i="3"/>
  <c r="F28" i="3"/>
  <c r="G28" i="3"/>
  <c r="H28" i="3"/>
  <c r="I28" i="3"/>
  <c r="J28" i="3"/>
  <c r="K28" i="3"/>
  <c r="L28" i="3"/>
  <c r="M28" i="3"/>
  <c r="N28" i="3"/>
  <c r="O28" i="3"/>
  <c r="D28" i="3"/>
  <c r="E25" i="3"/>
  <c r="F25" i="3"/>
  <c r="G25" i="3"/>
  <c r="H25" i="3"/>
  <c r="I25" i="3"/>
  <c r="J25" i="3"/>
  <c r="K25" i="3"/>
  <c r="L25" i="3"/>
  <c r="M25" i="3"/>
  <c r="N25" i="3"/>
  <c r="O25" i="3"/>
  <c r="D25" i="3"/>
  <c r="E21" i="3"/>
  <c r="E36" i="3" s="1"/>
  <c r="F21" i="3"/>
  <c r="G21" i="3"/>
  <c r="H21" i="3"/>
  <c r="I21" i="3"/>
  <c r="J21" i="3"/>
  <c r="L21" i="3"/>
  <c r="M21" i="3"/>
  <c r="N21" i="3"/>
  <c r="O21" i="3"/>
  <c r="D21" i="3"/>
  <c r="F12" i="3"/>
  <c r="G12" i="3"/>
  <c r="H12" i="3"/>
  <c r="I12" i="3"/>
  <c r="J12" i="3"/>
  <c r="L12" i="3"/>
  <c r="M12" i="3"/>
  <c r="N12" i="3"/>
  <c r="O12" i="3"/>
  <c r="E12" i="3"/>
  <c r="D12" i="3"/>
  <c r="D16" i="2"/>
  <c r="C16" i="2"/>
  <c r="G7" i="25"/>
  <c r="G8" i="25"/>
  <c r="K17" i="25"/>
  <c r="F17" i="25"/>
  <c r="F23" i="25"/>
  <c r="K23" i="25"/>
  <c r="K33" i="25"/>
  <c r="F33" i="25"/>
  <c r="G54" i="25"/>
  <c r="F56" i="25"/>
  <c r="G46" i="25"/>
  <c r="P76" i="3"/>
  <c r="P75" i="3"/>
  <c r="P67" i="3"/>
  <c r="P68" i="3"/>
  <c r="P64" i="3"/>
  <c r="P63" i="3"/>
  <c r="P59" i="3"/>
  <c r="P60" i="3"/>
  <c r="P53" i="3"/>
  <c r="P54" i="3"/>
  <c r="P55" i="3"/>
  <c r="P50" i="3"/>
  <c r="P49" i="3"/>
  <c r="P44" i="3"/>
  <c r="P45" i="3"/>
  <c r="P39" i="3"/>
  <c r="P40" i="3"/>
  <c r="P41" i="3"/>
  <c r="P34" i="3"/>
  <c r="P33" i="3"/>
  <c r="P32" i="3"/>
  <c r="P31" i="3"/>
  <c r="P30" i="3"/>
  <c r="P29" i="3"/>
  <c r="P27" i="3"/>
  <c r="P26" i="3"/>
  <c r="P24" i="3"/>
  <c r="P23" i="3"/>
  <c r="P22" i="3"/>
  <c r="P14" i="3"/>
  <c r="P15" i="3"/>
  <c r="P16" i="3"/>
  <c r="P17" i="3"/>
  <c r="P18" i="3"/>
  <c r="P19" i="3"/>
  <c r="P20" i="3"/>
  <c r="P13" i="3"/>
  <c r="P6" i="3"/>
  <c r="P7" i="3"/>
  <c r="P8" i="3"/>
  <c r="P9" i="3"/>
  <c r="P11" i="3"/>
  <c r="P5" i="3"/>
  <c r="F7" i="25"/>
  <c r="K7" i="25"/>
  <c r="F8" i="25"/>
  <c r="K8" i="25"/>
  <c r="F22" i="25"/>
  <c r="G22" i="25"/>
  <c r="K22" i="25"/>
  <c r="P80" i="3"/>
  <c r="P81" i="3"/>
  <c r="P82" i="3"/>
  <c r="P83" i="3"/>
  <c r="P84" i="3"/>
  <c r="P85" i="3"/>
  <c r="D86" i="3"/>
  <c r="E86" i="3"/>
  <c r="F86" i="3"/>
  <c r="G86" i="3"/>
  <c r="H86" i="3"/>
  <c r="I86" i="3"/>
  <c r="J86" i="3"/>
  <c r="K86" i="3"/>
  <c r="L86" i="3"/>
  <c r="M86" i="3"/>
  <c r="N86" i="3"/>
  <c r="O86" i="3"/>
  <c r="P87" i="3"/>
  <c r="P88" i="3"/>
  <c r="P89" i="3"/>
  <c r="P90" i="3"/>
  <c r="P91" i="3"/>
  <c r="P92" i="3"/>
  <c r="P93" i="3"/>
  <c r="P94" i="3"/>
  <c r="D95" i="3"/>
  <c r="E95" i="3"/>
  <c r="F95" i="3"/>
  <c r="G95" i="3"/>
  <c r="H95" i="3"/>
  <c r="I95" i="3"/>
  <c r="J95" i="3"/>
  <c r="K95" i="3"/>
  <c r="L95" i="3"/>
  <c r="M95" i="3"/>
  <c r="N95" i="3"/>
  <c r="O95" i="3"/>
  <c r="P96" i="3"/>
  <c r="P97" i="3"/>
  <c r="P98" i="3"/>
  <c r="D99" i="3"/>
  <c r="E99" i="3"/>
  <c r="F99" i="3"/>
  <c r="G99" i="3"/>
  <c r="H99" i="3"/>
  <c r="I99" i="3"/>
  <c r="J99" i="3"/>
  <c r="K99" i="3"/>
  <c r="L99" i="3"/>
  <c r="M99" i="3"/>
  <c r="N99" i="3"/>
  <c r="O99" i="3"/>
  <c r="I100" i="3"/>
  <c r="P100" i="3" s="1"/>
  <c r="I101" i="3"/>
  <c r="P101" i="3" s="1"/>
  <c r="D102" i="3"/>
  <c r="E102" i="3"/>
  <c r="F102" i="3"/>
  <c r="G102" i="3"/>
  <c r="H102" i="3"/>
  <c r="J102" i="3"/>
  <c r="K102" i="3"/>
  <c r="L102" i="3"/>
  <c r="M102" i="3"/>
  <c r="N102" i="3"/>
  <c r="O102" i="3"/>
  <c r="P103" i="3"/>
  <c r="P104" i="3"/>
  <c r="P105" i="3"/>
  <c r="P106" i="3"/>
  <c r="P107" i="3"/>
  <c r="P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3" i="3"/>
  <c r="P114" i="3"/>
  <c r="P115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8" i="3"/>
  <c r="P119" i="3"/>
  <c r="P120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3" i="3"/>
  <c r="P124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7" i="3"/>
  <c r="P128" i="3"/>
  <c r="P129" i="3"/>
  <c r="P130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3" i="3"/>
  <c r="P134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7" i="3"/>
  <c r="P138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E31" i="2"/>
  <c r="H4" i="25"/>
  <c r="D25" i="2"/>
  <c r="D24" i="2"/>
  <c r="D23" i="2"/>
  <c r="E23" i="2"/>
  <c r="D22" i="2"/>
  <c r="E22" i="2"/>
  <c r="D21" i="2"/>
  <c r="D20" i="2"/>
  <c r="E30" i="2"/>
  <c r="H7" i="1"/>
  <c r="D27" i="2"/>
  <c r="E27" i="2"/>
  <c r="D29" i="2"/>
  <c r="E29" i="2"/>
  <c r="D28" i="2"/>
  <c r="E28" i="2"/>
  <c r="K7" i="1"/>
  <c r="D26" i="2"/>
  <c r="E26" i="2"/>
  <c r="G6" i="25"/>
  <c r="G9" i="25"/>
  <c r="G11" i="25"/>
  <c r="G57" i="25"/>
  <c r="G58" i="25"/>
  <c r="G60" i="25"/>
  <c r="F58" i="25"/>
  <c r="K58" i="25"/>
  <c r="G32" i="25"/>
  <c r="F32" i="25"/>
  <c r="E24" i="2"/>
  <c r="K6" i="1"/>
  <c r="F7" i="1"/>
  <c r="F6" i="1"/>
  <c r="K13" i="25"/>
  <c r="G13" i="25"/>
  <c r="F13" i="25"/>
  <c r="K14" i="25"/>
  <c r="G14" i="25"/>
  <c r="F14" i="25"/>
  <c r="K57" i="25"/>
  <c r="F60" i="25"/>
  <c r="F57" i="25"/>
  <c r="G51" i="25"/>
  <c r="F51" i="25"/>
  <c r="I4" i="25"/>
  <c r="P141" i="3"/>
  <c r="P142" i="3"/>
  <c r="P143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6" i="3"/>
  <c r="P147" i="3"/>
  <c r="K51" i="25"/>
  <c r="E25" i="2"/>
  <c r="G56" i="25"/>
  <c r="G23" i="25"/>
  <c r="G17" i="25"/>
  <c r="D64" i="2"/>
  <c r="C64" i="2"/>
  <c r="E63" i="2"/>
  <c r="E62" i="2"/>
  <c r="E61" i="2"/>
  <c r="E60" i="2"/>
  <c r="E59" i="2"/>
  <c r="E58" i="2"/>
  <c r="E57" i="2"/>
  <c r="E56" i="2"/>
  <c r="E55" i="2"/>
  <c r="E54" i="2"/>
  <c r="E53" i="2"/>
  <c r="E52" i="2"/>
  <c r="P151" i="3"/>
  <c r="D48" i="2"/>
  <c r="C48" i="2"/>
  <c r="E47" i="2"/>
  <c r="E46" i="2"/>
  <c r="E45" i="2"/>
  <c r="E44" i="2"/>
  <c r="E43" i="2"/>
  <c r="E42" i="2"/>
  <c r="E41" i="2"/>
  <c r="E40" i="2"/>
  <c r="E39" i="2"/>
  <c r="E38" i="2"/>
  <c r="E37" i="2"/>
  <c r="E36" i="2"/>
  <c r="O159" i="3"/>
  <c r="P176" i="3"/>
  <c r="G33" i="25"/>
  <c r="N159" i="3"/>
  <c r="P208" i="3"/>
  <c r="P207" i="3"/>
  <c r="P206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G64" i="25"/>
  <c r="F64" i="25"/>
  <c r="G61" i="25"/>
  <c r="F61" i="25"/>
  <c r="F54" i="25"/>
  <c r="G50" i="25"/>
  <c r="F50" i="25"/>
  <c r="J5" i="1"/>
  <c r="G45" i="25"/>
  <c r="F45" i="25"/>
  <c r="E181" i="3"/>
  <c r="F181" i="3"/>
  <c r="G181" i="3"/>
  <c r="H181" i="3"/>
  <c r="I181" i="3"/>
  <c r="J181" i="3"/>
  <c r="K181" i="3"/>
  <c r="L181" i="3"/>
  <c r="M181" i="3"/>
  <c r="N181" i="3"/>
  <c r="O181" i="3"/>
  <c r="D181" i="3"/>
  <c r="P184" i="3"/>
  <c r="J159" i="3"/>
  <c r="K159" i="3"/>
  <c r="L166" i="3"/>
  <c r="K166" i="3"/>
  <c r="K169" i="3"/>
  <c r="K172" i="3"/>
  <c r="K178" i="3"/>
  <c r="K186" i="3"/>
  <c r="K190" i="3"/>
  <c r="K196" i="3"/>
  <c r="K200" i="3"/>
  <c r="K210" i="3"/>
  <c r="K214" i="3"/>
  <c r="J172" i="3"/>
  <c r="J197" i="3"/>
  <c r="P197" i="3" s="1"/>
  <c r="K228" i="3"/>
  <c r="L228" i="3"/>
  <c r="M228" i="3"/>
  <c r="N228" i="3"/>
  <c r="O228" i="3"/>
  <c r="K235" i="3"/>
  <c r="L235" i="3"/>
  <c r="M235" i="3"/>
  <c r="N235" i="3"/>
  <c r="O235" i="3"/>
  <c r="O237" i="3"/>
  <c r="P237" i="3"/>
  <c r="K238" i="3"/>
  <c r="L238" i="3"/>
  <c r="M238" i="3"/>
  <c r="N238" i="3"/>
  <c r="K241" i="3"/>
  <c r="L241" i="3"/>
  <c r="M241" i="3"/>
  <c r="N241" i="3"/>
  <c r="O241" i="3"/>
  <c r="K245" i="3"/>
  <c r="L245" i="3"/>
  <c r="M245" i="3"/>
  <c r="N245" i="3"/>
  <c r="O245" i="3"/>
  <c r="K248" i="3"/>
  <c r="L248" i="3"/>
  <c r="M248" i="3"/>
  <c r="N248" i="3"/>
  <c r="O248" i="3"/>
  <c r="K252" i="3"/>
  <c r="L252" i="3"/>
  <c r="M252" i="3"/>
  <c r="N252" i="3"/>
  <c r="O252" i="3"/>
  <c r="K258" i="3"/>
  <c r="L258" i="3"/>
  <c r="M258" i="3"/>
  <c r="N258" i="3"/>
  <c r="O258" i="3"/>
  <c r="K262" i="3"/>
  <c r="L262" i="3"/>
  <c r="M262" i="3"/>
  <c r="N262" i="3"/>
  <c r="O262" i="3"/>
  <c r="K267" i="3"/>
  <c r="L267" i="3"/>
  <c r="M267" i="3"/>
  <c r="N267" i="3"/>
  <c r="O267" i="3"/>
  <c r="K271" i="3"/>
  <c r="L271" i="3"/>
  <c r="M271" i="3"/>
  <c r="N271" i="3"/>
  <c r="O271" i="3"/>
  <c r="K286" i="3"/>
  <c r="L286" i="3"/>
  <c r="M286" i="3"/>
  <c r="N286" i="3"/>
  <c r="O286" i="3"/>
  <c r="K293" i="3"/>
  <c r="L293" i="3"/>
  <c r="M293" i="3"/>
  <c r="N293" i="3"/>
  <c r="O293" i="3"/>
  <c r="K296" i="3"/>
  <c r="L296" i="3"/>
  <c r="M296" i="3"/>
  <c r="N296" i="3"/>
  <c r="O296" i="3"/>
  <c r="K299" i="3"/>
  <c r="L299" i="3"/>
  <c r="M299" i="3"/>
  <c r="N299" i="3"/>
  <c r="O299" i="3"/>
  <c r="K303" i="3"/>
  <c r="L303" i="3"/>
  <c r="M303" i="3"/>
  <c r="N303" i="3"/>
  <c r="O303" i="3"/>
  <c r="K306" i="3"/>
  <c r="L306" i="3"/>
  <c r="M306" i="3"/>
  <c r="N306" i="3"/>
  <c r="O306" i="3"/>
  <c r="K310" i="3"/>
  <c r="L310" i="3"/>
  <c r="M310" i="3"/>
  <c r="N310" i="3"/>
  <c r="O310" i="3"/>
  <c r="K315" i="3"/>
  <c r="L315" i="3"/>
  <c r="M315" i="3"/>
  <c r="N315" i="3"/>
  <c r="O315" i="3"/>
  <c r="K319" i="3"/>
  <c r="L319" i="3"/>
  <c r="M319" i="3"/>
  <c r="N319" i="3"/>
  <c r="O319" i="3"/>
  <c r="K323" i="3"/>
  <c r="L323" i="3"/>
  <c r="M323" i="3"/>
  <c r="N323" i="3"/>
  <c r="O323" i="3"/>
  <c r="K327" i="3"/>
  <c r="L327" i="3"/>
  <c r="M327" i="3"/>
  <c r="N327" i="3"/>
  <c r="O327" i="3"/>
  <c r="K342" i="3"/>
  <c r="L342" i="3"/>
  <c r="M342" i="3"/>
  <c r="N342" i="3"/>
  <c r="O342" i="3"/>
  <c r="K347" i="3"/>
  <c r="L347" i="3"/>
  <c r="M347" i="3"/>
  <c r="N347" i="3"/>
  <c r="O347" i="3"/>
  <c r="K350" i="3"/>
  <c r="L350" i="3"/>
  <c r="M350" i="3"/>
  <c r="N350" i="3"/>
  <c r="O350" i="3"/>
  <c r="K353" i="3"/>
  <c r="L353" i="3"/>
  <c r="M353" i="3"/>
  <c r="N353" i="3"/>
  <c r="O353" i="3"/>
  <c r="K357" i="3"/>
  <c r="L357" i="3"/>
  <c r="M357" i="3"/>
  <c r="N357" i="3"/>
  <c r="O357" i="3"/>
  <c r="K360" i="3"/>
  <c r="L360" i="3"/>
  <c r="M360" i="3"/>
  <c r="N360" i="3"/>
  <c r="O360" i="3"/>
  <c r="K366" i="3"/>
  <c r="L366" i="3"/>
  <c r="M366" i="3"/>
  <c r="N366" i="3"/>
  <c r="O366" i="3"/>
  <c r="K371" i="3"/>
  <c r="L371" i="3"/>
  <c r="M371" i="3"/>
  <c r="N371" i="3"/>
  <c r="O371" i="3"/>
  <c r="K402" i="3"/>
  <c r="L402" i="3"/>
  <c r="M402" i="3"/>
  <c r="N402" i="3"/>
  <c r="O402" i="3"/>
  <c r="K404" i="3"/>
  <c r="L404" i="3"/>
  <c r="M404" i="3"/>
  <c r="N404" i="3"/>
  <c r="O404" i="3"/>
  <c r="K409" i="3"/>
  <c r="L409" i="3"/>
  <c r="M409" i="3"/>
  <c r="N409" i="3"/>
  <c r="O409" i="3"/>
  <c r="K414" i="3"/>
  <c r="L414" i="3"/>
  <c r="M414" i="3"/>
  <c r="N414" i="3"/>
  <c r="O414" i="3"/>
  <c r="K431" i="3"/>
  <c r="L431" i="3"/>
  <c r="M431" i="3"/>
  <c r="N431" i="3"/>
  <c r="O431" i="3"/>
  <c r="K436" i="3"/>
  <c r="L436" i="3"/>
  <c r="M436" i="3"/>
  <c r="N436" i="3"/>
  <c r="O436" i="3"/>
  <c r="K439" i="3"/>
  <c r="L439" i="3"/>
  <c r="M439" i="3"/>
  <c r="N439" i="3"/>
  <c r="O439" i="3"/>
  <c r="K442" i="3"/>
  <c r="L442" i="3"/>
  <c r="M442" i="3"/>
  <c r="N442" i="3"/>
  <c r="O442" i="3"/>
  <c r="K445" i="3"/>
  <c r="L445" i="3"/>
  <c r="M445" i="3"/>
  <c r="O445" i="3"/>
  <c r="K448" i="3"/>
  <c r="L448" i="3"/>
  <c r="M448" i="3"/>
  <c r="N448" i="3"/>
  <c r="O448" i="3"/>
  <c r="K452" i="3"/>
  <c r="L452" i="3"/>
  <c r="M452" i="3"/>
  <c r="N452" i="3"/>
  <c r="O452" i="3"/>
  <c r="K457" i="3"/>
  <c r="L457" i="3"/>
  <c r="M457" i="3"/>
  <c r="N457" i="3"/>
  <c r="O457" i="3"/>
  <c r="K461" i="3"/>
  <c r="L461" i="3"/>
  <c r="M461" i="3"/>
  <c r="N461" i="3"/>
  <c r="O461" i="3"/>
  <c r="I171" i="3"/>
  <c r="I170" i="3"/>
  <c r="I152" i="3"/>
  <c r="I159" i="3" s="1"/>
  <c r="J228" i="3"/>
  <c r="J235" i="3"/>
  <c r="J238" i="3"/>
  <c r="J241" i="3"/>
  <c r="J245" i="3"/>
  <c r="J248" i="3"/>
  <c r="J252" i="3"/>
  <c r="J258" i="3"/>
  <c r="J262" i="3"/>
  <c r="J267" i="3"/>
  <c r="J271" i="3"/>
  <c r="I228" i="3"/>
  <c r="I235" i="3"/>
  <c r="I238" i="3"/>
  <c r="I241" i="3"/>
  <c r="I245" i="3"/>
  <c r="I248" i="3"/>
  <c r="I252" i="3"/>
  <c r="I258" i="3"/>
  <c r="I262" i="3"/>
  <c r="I267" i="3"/>
  <c r="I271" i="3"/>
  <c r="H171" i="3"/>
  <c r="H170" i="3"/>
  <c r="H152" i="3"/>
  <c r="H159" i="3" s="1"/>
  <c r="H228" i="3"/>
  <c r="H235" i="3"/>
  <c r="H238" i="3"/>
  <c r="H241" i="3"/>
  <c r="H245" i="3"/>
  <c r="H248" i="3"/>
  <c r="H252" i="3"/>
  <c r="H258" i="3"/>
  <c r="H262" i="3"/>
  <c r="H267" i="3"/>
  <c r="H271" i="3"/>
  <c r="H286" i="3"/>
  <c r="I286" i="3"/>
  <c r="J286" i="3"/>
  <c r="H293" i="3"/>
  <c r="I293" i="3"/>
  <c r="J293" i="3"/>
  <c r="H296" i="3"/>
  <c r="I296" i="3"/>
  <c r="J296" i="3"/>
  <c r="H299" i="3"/>
  <c r="I299" i="3"/>
  <c r="J299" i="3"/>
  <c r="H303" i="3"/>
  <c r="I303" i="3"/>
  <c r="J303" i="3"/>
  <c r="H306" i="3"/>
  <c r="I306" i="3"/>
  <c r="J306" i="3"/>
  <c r="H310" i="3"/>
  <c r="I310" i="3"/>
  <c r="J310" i="3"/>
  <c r="H315" i="3"/>
  <c r="I315" i="3"/>
  <c r="J315" i="3"/>
  <c r="H319" i="3"/>
  <c r="I319" i="3"/>
  <c r="J319" i="3"/>
  <c r="H323" i="3"/>
  <c r="I323" i="3"/>
  <c r="J323" i="3"/>
  <c r="H327" i="3"/>
  <c r="I327" i="3"/>
  <c r="J327" i="3"/>
  <c r="H342" i="3"/>
  <c r="I342" i="3"/>
  <c r="J342" i="3"/>
  <c r="H347" i="3"/>
  <c r="I347" i="3"/>
  <c r="J347" i="3"/>
  <c r="H350" i="3"/>
  <c r="I350" i="3"/>
  <c r="J350" i="3"/>
  <c r="H353" i="3"/>
  <c r="I353" i="3"/>
  <c r="J353" i="3"/>
  <c r="H357" i="3"/>
  <c r="I357" i="3"/>
  <c r="J357" i="3"/>
  <c r="H360" i="3"/>
  <c r="I360" i="3"/>
  <c r="J360" i="3"/>
  <c r="H366" i="3"/>
  <c r="I366" i="3"/>
  <c r="J366" i="3"/>
  <c r="H371" i="3"/>
  <c r="I371" i="3"/>
  <c r="J371" i="3"/>
  <c r="H388" i="3"/>
  <c r="I388" i="3"/>
  <c r="H392" i="3"/>
  <c r="I392" i="3"/>
  <c r="H395" i="3"/>
  <c r="I395" i="3"/>
  <c r="H398" i="3"/>
  <c r="I398" i="3"/>
  <c r="H401" i="3"/>
  <c r="I401" i="3"/>
  <c r="J402" i="3"/>
  <c r="H404" i="3"/>
  <c r="I404" i="3"/>
  <c r="J404" i="3"/>
  <c r="H409" i="3"/>
  <c r="I409" i="3"/>
  <c r="J409" i="3"/>
  <c r="H414" i="3"/>
  <c r="I414" i="3"/>
  <c r="J414" i="3"/>
  <c r="H431" i="3"/>
  <c r="I431" i="3"/>
  <c r="J431" i="3"/>
  <c r="H436" i="3"/>
  <c r="I436" i="3"/>
  <c r="J436" i="3"/>
  <c r="H439" i="3"/>
  <c r="I439" i="3"/>
  <c r="J439" i="3"/>
  <c r="H442" i="3"/>
  <c r="I442" i="3"/>
  <c r="J442" i="3"/>
  <c r="H445" i="3"/>
  <c r="I445" i="3"/>
  <c r="J445" i="3"/>
  <c r="H448" i="3"/>
  <c r="I448" i="3"/>
  <c r="J448" i="3"/>
  <c r="H452" i="3"/>
  <c r="I452" i="3"/>
  <c r="J452" i="3"/>
  <c r="H457" i="3"/>
  <c r="I457" i="3"/>
  <c r="J457" i="3"/>
  <c r="H461" i="3"/>
  <c r="I461" i="3"/>
  <c r="J461" i="3"/>
  <c r="G171" i="3"/>
  <c r="G170" i="3"/>
  <c r="G172" i="3" s="1"/>
  <c r="P183" i="3"/>
  <c r="P182" i="3"/>
  <c r="G152" i="3"/>
  <c r="G159" i="3" s="1"/>
  <c r="G228" i="3"/>
  <c r="G235" i="3"/>
  <c r="G238" i="3"/>
  <c r="G241" i="3"/>
  <c r="G245" i="3"/>
  <c r="G248" i="3"/>
  <c r="G252" i="3"/>
  <c r="G258" i="3"/>
  <c r="G262" i="3"/>
  <c r="G267" i="3"/>
  <c r="G271" i="3"/>
  <c r="G286" i="3"/>
  <c r="G293" i="3"/>
  <c r="G296" i="3"/>
  <c r="G299" i="3"/>
  <c r="G303" i="3"/>
  <c r="G306" i="3"/>
  <c r="G310" i="3"/>
  <c r="G315" i="3"/>
  <c r="G319" i="3"/>
  <c r="G323" i="3"/>
  <c r="G327" i="3"/>
  <c r="G342" i="3"/>
  <c r="G347" i="3"/>
  <c r="G350" i="3"/>
  <c r="G353" i="3"/>
  <c r="G357" i="3"/>
  <c r="G360" i="3"/>
  <c r="G366" i="3"/>
  <c r="G371" i="3"/>
  <c r="G388" i="3"/>
  <c r="G392" i="3"/>
  <c r="G395" i="3"/>
  <c r="G398" i="3"/>
  <c r="G401" i="3"/>
  <c r="G404" i="3"/>
  <c r="G409" i="3"/>
  <c r="G414" i="3"/>
  <c r="G431" i="3"/>
  <c r="G436" i="3"/>
  <c r="G439" i="3"/>
  <c r="G442" i="3"/>
  <c r="G445" i="3"/>
  <c r="G448" i="3"/>
  <c r="G452" i="3"/>
  <c r="G457" i="3"/>
  <c r="G461" i="3"/>
  <c r="P212" i="3"/>
  <c r="P211" i="3"/>
  <c r="O210" i="3"/>
  <c r="N210" i="3"/>
  <c r="M210" i="3"/>
  <c r="L210" i="3"/>
  <c r="J210" i="3"/>
  <c r="I210" i="3"/>
  <c r="H210" i="3"/>
  <c r="G210" i="3"/>
  <c r="F210" i="3"/>
  <c r="E210" i="3"/>
  <c r="D210" i="3"/>
  <c r="F171" i="3"/>
  <c r="F170" i="3"/>
  <c r="F172" i="3" s="1"/>
  <c r="F168" i="3"/>
  <c r="F169" i="3" s="1"/>
  <c r="F161" i="3"/>
  <c r="F166" i="3" s="1"/>
  <c r="F174" i="3"/>
  <c r="F178" i="3" s="1"/>
  <c r="F158" i="3"/>
  <c r="P158" i="3" s="1"/>
  <c r="F156" i="3"/>
  <c r="P156" i="3" s="1"/>
  <c r="F154" i="3"/>
  <c r="P154" i="3"/>
  <c r="F152" i="3"/>
  <c r="F228" i="3"/>
  <c r="F235" i="3"/>
  <c r="F238" i="3"/>
  <c r="F241" i="3"/>
  <c r="F245" i="3"/>
  <c r="F248" i="3"/>
  <c r="F252" i="3"/>
  <c r="F258" i="3"/>
  <c r="F262" i="3"/>
  <c r="F267" i="3"/>
  <c r="F271" i="3"/>
  <c r="E171" i="3"/>
  <c r="E170" i="3"/>
  <c r="E152" i="3"/>
  <c r="E159" i="3" s="1"/>
  <c r="G31" i="25"/>
  <c r="F31" i="25"/>
  <c r="D171" i="3"/>
  <c r="D172" i="3" s="1"/>
  <c r="D170" i="3"/>
  <c r="D152" i="3"/>
  <c r="D159" i="3" s="1"/>
  <c r="P175" i="3"/>
  <c r="P216" i="3"/>
  <c r="P215" i="3"/>
  <c r="O214" i="3"/>
  <c r="N214" i="3"/>
  <c r="M214" i="3"/>
  <c r="L214" i="3"/>
  <c r="J214" i="3"/>
  <c r="I214" i="3"/>
  <c r="H214" i="3"/>
  <c r="G214" i="3"/>
  <c r="F214" i="3"/>
  <c r="E214" i="3"/>
  <c r="D214" i="3"/>
  <c r="P203" i="3"/>
  <c r="P202" i="3"/>
  <c r="P201" i="3"/>
  <c r="O200" i="3"/>
  <c r="N200" i="3"/>
  <c r="M200" i="3"/>
  <c r="L200" i="3"/>
  <c r="J200" i="3"/>
  <c r="I200" i="3"/>
  <c r="H200" i="3"/>
  <c r="G200" i="3"/>
  <c r="F200" i="3"/>
  <c r="E200" i="3"/>
  <c r="D200" i="3"/>
  <c r="P198" i="3"/>
  <c r="O196" i="3"/>
  <c r="N196" i="3"/>
  <c r="M196" i="3"/>
  <c r="L196" i="3"/>
  <c r="I196" i="3"/>
  <c r="H196" i="3"/>
  <c r="G196" i="3"/>
  <c r="F196" i="3"/>
  <c r="E196" i="3"/>
  <c r="D196" i="3"/>
  <c r="P194" i="3"/>
  <c r="P193" i="3"/>
  <c r="P192" i="3"/>
  <c r="P191" i="3"/>
  <c r="O190" i="3"/>
  <c r="N190" i="3"/>
  <c r="M190" i="3"/>
  <c r="L190" i="3"/>
  <c r="J190" i="3"/>
  <c r="I190" i="3"/>
  <c r="H190" i="3"/>
  <c r="G190" i="3"/>
  <c r="F190" i="3"/>
  <c r="E190" i="3"/>
  <c r="D190" i="3"/>
  <c r="P188" i="3"/>
  <c r="P187" i="3"/>
  <c r="O186" i="3"/>
  <c r="N186" i="3"/>
  <c r="M186" i="3"/>
  <c r="L186" i="3"/>
  <c r="J186" i="3"/>
  <c r="I186" i="3"/>
  <c r="H186" i="3"/>
  <c r="G186" i="3"/>
  <c r="F186" i="3"/>
  <c r="E186" i="3"/>
  <c r="D186" i="3"/>
  <c r="O178" i="3"/>
  <c r="N178" i="3"/>
  <c r="M178" i="3"/>
  <c r="L178" i="3"/>
  <c r="J178" i="3"/>
  <c r="I178" i="3"/>
  <c r="H178" i="3"/>
  <c r="G178" i="3"/>
  <c r="E178" i="3"/>
  <c r="D178" i="3"/>
  <c r="P177" i="3"/>
  <c r="P173" i="3"/>
  <c r="O172" i="3"/>
  <c r="N172" i="3"/>
  <c r="M172" i="3"/>
  <c r="L172" i="3"/>
  <c r="N169" i="3"/>
  <c r="M169" i="3"/>
  <c r="L169" i="3"/>
  <c r="J169" i="3"/>
  <c r="I169" i="3"/>
  <c r="H169" i="3"/>
  <c r="G169" i="3"/>
  <c r="E169" i="3"/>
  <c r="D169" i="3"/>
  <c r="O169" i="3"/>
  <c r="P167" i="3"/>
  <c r="O166" i="3"/>
  <c r="N166" i="3"/>
  <c r="M166" i="3"/>
  <c r="J166" i="3"/>
  <c r="I166" i="3"/>
  <c r="H166" i="3"/>
  <c r="G166" i="3"/>
  <c r="E166" i="3"/>
  <c r="D166" i="3"/>
  <c r="P165" i="3"/>
  <c r="P164" i="3"/>
  <c r="P163" i="3"/>
  <c r="P162" i="3"/>
  <c r="P160" i="3"/>
  <c r="M159" i="3"/>
  <c r="L159" i="3"/>
  <c r="P157" i="3"/>
  <c r="P155" i="3"/>
  <c r="P153" i="3"/>
  <c r="C32" i="2"/>
  <c r="P273" i="3"/>
  <c r="P272" i="3"/>
  <c r="E271" i="3"/>
  <c r="D271" i="3"/>
  <c r="E79" i="2"/>
  <c r="E78" i="2"/>
  <c r="E77" i="2"/>
  <c r="P320" i="3"/>
  <c r="P321" i="3"/>
  <c r="P313" i="3"/>
  <c r="P312" i="3"/>
  <c r="P311" i="3"/>
  <c r="F310" i="3"/>
  <c r="E310" i="3"/>
  <c r="D310" i="3"/>
  <c r="P308" i="3"/>
  <c r="P307" i="3"/>
  <c r="F306" i="3"/>
  <c r="E306" i="3"/>
  <c r="D306" i="3"/>
  <c r="P260" i="3"/>
  <c r="P259" i="3"/>
  <c r="E258" i="3"/>
  <c r="D258" i="3"/>
  <c r="P250" i="3"/>
  <c r="P249" i="3"/>
  <c r="E248" i="3"/>
  <c r="D248" i="3"/>
  <c r="G49" i="25"/>
  <c r="F49" i="25"/>
  <c r="E76" i="2"/>
  <c r="P264" i="3"/>
  <c r="P263" i="3"/>
  <c r="P265" i="3"/>
  <c r="E252" i="3"/>
  <c r="D252" i="3"/>
  <c r="P255" i="3"/>
  <c r="E75" i="2"/>
  <c r="P230" i="3"/>
  <c r="G15" i="25"/>
  <c r="F15" i="25"/>
  <c r="E74" i="2"/>
  <c r="E73" i="2"/>
  <c r="E72" i="2"/>
  <c r="E71" i="2"/>
  <c r="E70" i="2"/>
  <c r="F286" i="3"/>
  <c r="F293" i="3"/>
  <c r="F296" i="3"/>
  <c r="F299" i="3"/>
  <c r="F303" i="3"/>
  <c r="F315" i="3"/>
  <c r="F319" i="3"/>
  <c r="F323" i="3"/>
  <c r="F327" i="3"/>
  <c r="D80" i="2"/>
  <c r="C80" i="2"/>
  <c r="E69" i="2"/>
  <c r="E68" i="2"/>
  <c r="P269" i="3"/>
  <c r="P268" i="3"/>
  <c r="E267" i="3"/>
  <c r="D267" i="3"/>
  <c r="E262" i="3"/>
  <c r="D262" i="3"/>
  <c r="P254" i="3"/>
  <c r="P253" i="3"/>
  <c r="P256" i="3"/>
  <c r="E245" i="3"/>
  <c r="D245" i="3"/>
  <c r="P244" i="3"/>
  <c r="P243" i="3"/>
  <c r="P242" i="3"/>
  <c r="E241" i="3"/>
  <c r="D241" i="3"/>
  <c r="P240" i="3"/>
  <c r="P239" i="3"/>
  <c r="E238" i="3"/>
  <c r="D238" i="3"/>
  <c r="P236" i="3"/>
  <c r="P238" i="3" s="1"/>
  <c r="E235" i="3"/>
  <c r="D235" i="3"/>
  <c r="P234" i="3"/>
  <c r="P233" i="3"/>
  <c r="P232" i="3"/>
  <c r="P231" i="3"/>
  <c r="P229" i="3"/>
  <c r="E228" i="3"/>
  <c r="D228" i="3"/>
  <c r="P227" i="3"/>
  <c r="P226" i="3"/>
  <c r="P225" i="3"/>
  <c r="P224" i="3"/>
  <c r="P223" i="3"/>
  <c r="P222" i="3"/>
  <c r="P221" i="3"/>
  <c r="P220" i="3"/>
  <c r="P291" i="3"/>
  <c r="E95" i="2"/>
  <c r="P329" i="3"/>
  <c r="P328" i="3"/>
  <c r="E327" i="3"/>
  <c r="D327" i="3"/>
  <c r="E94" i="2"/>
  <c r="E5" i="1"/>
  <c r="E92" i="2"/>
  <c r="E93" i="2"/>
  <c r="E91" i="2"/>
  <c r="E90" i="2"/>
  <c r="E319" i="3"/>
  <c r="D319" i="3"/>
  <c r="E89" i="2"/>
  <c r="E88" i="2"/>
  <c r="E87" i="2"/>
  <c r="P289" i="3"/>
  <c r="F18" i="25"/>
  <c r="G18" i="25"/>
  <c r="E86" i="2"/>
  <c r="F338" i="3"/>
  <c r="F342" i="3" s="1"/>
  <c r="F340" i="3"/>
  <c r="P340" i="3" s="1"/>
  <c r="F347" i="3"/>
  <c r="F350" i="3"/>
  <c r="F353" i="3"/>
  <c r="F357" i="3"/>
  <c r="F360" i="3"/>
  <c r="F366" i="3"/>
  <c r="F371" i="3"/>
  <c r="F388" i="3"/>
  <c r="F392" i="3"/>
  <c r="F395" i="3"/>
  <c r="F398" i="3"/>
  <c r="F401" i="3"/>
  <c r="F404" i="3"/>
  <c r="F409" i="3"/>
  <c r="F414" i="3"/>
  <c r="F431" i="3"/>
  <c r="F436" i="3"/>
  <c r="F439" i="3"/>
  <c r="F442" i="3"/>
  <c r="F445" i="3"/>
  <c r="F448" i="3"/>
  <c r="F452" i="3"/>
  <c r="F457" i="3"/>
  <c r="F461" i="3"/>
  <c r="P325" i="3"/>
  <c r="P324" i="3"/>
  <c r="E323" i="3"/>
  <c r="D323" i="3"/>
  <c r="K37" i="25"/>
  <c r="G37" i="25"/>
  <c r="F37" i="25"/>
  <c r="D96" i="2"/>
  <c r="E342" i="3"/>
  <c r="E347" i="3"/>
  <c r="E350" i="3"/>
  <c r="E353" i="3"/>
  <c r="E357" i="3"/>
  <c r="E360" i="3"/>
  <c r="E366" i="3"/>
  <c r="E371" i="3"/>
  <c r="D297" i="3"/>
  <c r="P297" i="3" s="1"/>
  <c r="D298" i="3"/>
  <c r="P298" i="3" s="1"/>
  <c r="D284" i="3"/>
  <c r="P284" i="3" s="1"/>
  <c r="D282" i="3"/>
  <c r="P282" i="3" s="1"/>
  <c r="P317" i="3"/>
  <c r="P316" i="3"/>
  <c r="E315" i="3"/>
  <c r="D315" i="3"/>
  <c r="E303" i="3"/>
  <c r="D303" i="3"/>
  <c r="P302" i="3"/>
  <c r="P301" i="3"/>
  <c r="P300" i="3"/>
  <c r="E299" i="3"/>
  <c r="E296" i="3"/>
  <c r="D296" i="3"/>
  <c r="P295" i="3"/>
  <c r="P294" i="3"/>
  <c r="E293" i="3"/>
  <c r="D293" i="3"/>
  <c r="P292" i="3"/>
  <c r="P290" i="3"/>
  <c r="P288" i="3"/>
  <c r="P287" i="3"/>
  <c r="E286" i="3"/>
  <c r="P285" i="3"/>
  <c r="P283" i="3"/>
  <c r="P281" i="3"/>
  <c r="P280" i="3"/>
  <c r="P279" i="3"/>
  <c r="P278" i="3"/>
  <c r="P277" i="3"/>
  <c r="E111" i="2"/>
  <c r="E110" i="2"/>
  <c r="E109" i="2"/>
  <c r="E108" i="2"/>
  <c r="D357" i="3"/>
  <c r="P354" i="3"/>
  <c r="G29" i="25"/>
  <c r="F29" i="25"/>
  <c r="E107" i="2"/>
  <c r="P344" i="3"/>
  <c r="G16" i="25"/>
  <c r="F16" i="25"/>
  <c r="P377" i="3"/>
  <c r="P378" i="3"/>
  <c r="P379" i="3"/>
  <c r="P380" i="3"/>
  <c r="P381" i="3"/>
  <c r="P382" i="3"/>
  <c r="P383" i="3"/>
  <c r="P384" i="3"/>
  <c r="P385" i="3"/>
  <c r="P386" i="3"/>
  <c r="P387" i="3"/>
  <c r="P389" i="3"/>
  <c r="P390" i="3"/>
  <c r="P391" i="3"/>
  <c r="P393" i="3"/>
  <c r="P394" i="3"/>
  <c r="P396" i="3"/>
  <c r="P397" i="3"/>
  <c r="P399" i="3"/>
  <c r="P400" i="3"/>
  <c r="P405" i="3"/>
  <c r="P406" i="3"/>
  <c r="P407" i="3"/>
  <c r="P410" i="3"/>
  <c r="P411" i="3"/>
  <c r="P412" i="3"/>
  <c r="P415" i="3"/>
  <c r="P416" i="3"/>
  <c r="E106" i="2"/>
  <c r="P362" i="3"/>
  <c r="E105" i="2"/>
  <c r="E414" i="3"/>
  <c r="D414" i="3"/>
  <c r="E404" i="3"/>
  <c r="D404" i="3"/>
  <c r="E409" i="3"/>
  <c r="D409" i="3"/>
  <c r="E401" i="3"/>
  <c r="D401" i="3"/>
  <c r="E398" i="3"/>
  <c r="D398" i="3"/>
  <c r="E395" i="3"/>
  <c r="D395" i="3"/>
  <c r="E392" i="3"/>
  <c r="D392" i="3"/>
  <c r="E388" i="3"/>
  <c r="D388" i="3"/>
  <c r="E104" i="2"/>
  <c r="P364" i="3"/>
  <c r="E103" i="2"/>
  <c r="P352" i="3"/>
  <c r="P351" i="3"/>
  <c r="E102" i="2"/>
  <c r="E101" i="2"/>
  <c r="P373" i="3"/>
  <c r="P372" i="3"/>
  <c r="D371" i="3"/>
  <c r="P363" i="3"/>
  <c r="P361" i="3"/>
  <c r="D360" i="3"/>
  <c r="P369" i="3"/>
  <c r="P368" i="3"/>
  <c r="P367" i="3"/>
  <c r="D366" i="3"/>
  <c r="P356" i="3"/>
  <c r="P355" i="3"/>
  <c r="D353" i="3"/>
  <c r="D350" i="3"/>
  <c r="P349" i="3"/>
  <c r="P348" i="3"/>
  <c r="D347" i="3"/>
  <c r="P346" i="3"/>
  <c r="P345" i="3"/>
  <c r="P343" i="3"/>
  <c r="D342" i="3"/>
  <c r="P341" i="3"/>
  <c r="P339" i="3"/>
  <c r="P337" i="3"/>
  <c r="P336" i="3"/>
  <c r="P335" i="3"/>
  <c r="P334" i="3"/>
  <c r="P333" i="3"/>
  <c r="C96" i="2"/>
  <c r="E85" i="2"/>
  <c r="E84" i="2"/>
  <c r="G48" i="25"/>
  <c r="F48" i="25"/>
  <c r="E431" i="3"/>
  <c r="E436" i="3"/>
  <c r="E439" i="3"/>
  <c r="E442" i="3"/>
  <c r="E445" i="3"/>
  <c r="E448" i="3"/>
  <c r="E452" i="3"/>
  <c r="E457" i="3"/>
  <c r="E461" i="3"/>
  <c r="F11" i="25"/>
  <c r="P463" i="3"/>
  <c r="P462" i="3"/>
  <c r="D461" i="3"/>
  <c r="P459" i="3"/>
  <c r="P458" i="3"/>
  <c r="D457" i="3"/>
  <c r="P455" i="3"/>
  <c r="P454" i="3"/>
  <c r="P453" i="3"/>
  <c r="D452" i="3"/>
  <c r="P450" i="3"/>
  <c r="P449" i="3"/>
  <c r="D448" i="3"/>
  <c r="D445" i="3"/>
  <c r="P444" i="3"/>
  <c r="P443" i="3"/>
  <c r="D442" i="3"/>
  <c r="P441" i="3"/>
  <c r="P440" i="3"/>
  <c r="D439" i="3"/>
  <c r="P438" i="3"/>
  <c r="P437" i="3"/>
  <c r="D436" i="3"/>
  <c r="P435" i="3"/>
  <c r="P434" i="3"/>
  <c r="P433" i="3"/>
  <c r="P432" i="3"/>
  <c r="D431" i="3"/>
  <c r="P430" i="3"/>
  <c r="P429" i="3"/>
  <c r="P428" i="3"/>
  <c r="P427" i="3"/>
  <c r="P426" i="3"/>
  <c r="P425" i="3"/>
  <c r="P424" i="3"/>
  <c r="P423" i="3"/>
  <c r="P422" i="3"/>
  <c r="P421" i="3"/>
  <c r="P420" i="3"/>
  <c r="G30" i="25"/>
  <c r="F30" i="25"/>
  <c r="G34" i="25"/>
  <c r="F34" i="25"/>
  <c r="G47" i="25"/>
  <c r="F47" i="25"/>
  <c r="F46" i="25"/>
  <c r="G27" i="25"/>
  <c r="F27" i="25"/>
  <c r="G26" i="25"/>
  <c r="F26" i="25"/>
  <c r="G24" i="25"/>
  <c r="F24" i="25"/>
  <c r="G20" i="25"/>
  <c r="F20" i="25"/>
  <c r="G19" i="25"/>
  <c r="F19" i="25"/>
  <c r="F6" i="25"/>
  <c r="G5" i="25"/>
  <c r="F5" i="25"/>
  <c r="C112" i="2"/>
  <c r="H6" i="1"/>
  <c r="I5" i="1"/>
  <c r="I4" i="1"/>
  <c r="J4" i="1"/>
  <c r="E4" i="1"/>
  <c r="F9" i="25"/>
  <c r="H43" i="25"/>
  <c r="E100" i="2"/>
  <c r="E112" i="2"/>
  <c r="K30" i="25"/>
  <c r="K26" i="25"/>
  <c r="K9" i="25"/>
  <c r="K19" i="25"/>
  <c r="K15" i="25"/>
  <c r="K21" i="25"/>
  <c r="K28" i="25"/>
  <c r="K31" i="25"/>
  <c r="K6" i="25"/>
  <c r="K24" i="25"/>
  <c r="K18" i="25"/>
  <c r="K5" i="25"/>
  <c r="K20" i="25"/>
  <c r="K11" i="25"/>
  <c r="K34" i="25"/>
  <c r="K16" i="25"/>
  <c r="K27" i="25"/>
  <c r="K29" i="25"/>
  <c r="K50" i="25"/>
  <c r="K61" i="25"/>
  <c r="K56" i="25"/>
  <c r="K46" i="25"/>
  <c r="K49" i="25"/>
  <c r="K54" i="25"/>
  <c r="K48" i="25"/>
  <c r="K45" i="25"/>
  <c r="K64" i="25"/>
  <c r="K47" i="25"/>
  <c r="K60" i="25"/>
  <c r="F25" i="25"/>
  <c r="G28" i="25"/>
  <c r="F28" i="25"/>
  <c r="E21" i="2"/>
  <c r="P174" i="3"/>
  <c r="P353" i="3"/>
  <c r="F53" i="25"/>
  <c r="G53" i="25"/>
  <c r="F44" i="25"/>
  <c r="K32" i="25"/>
  <c r="D32" i="2"/>
  <c r="E20" i="2"/>
  <c r="E32" i="2"/>
  <c r="O238" i="3"/>
  <c r="K44" i="25"/>
  <c r="K39" i="25"/>
  <c r="F39" i="25"/>
  <c r="P338" i="3"/>
  <c r="F63" i="25"/>
  <c r="G39" i="25"/>
  <c r="F66" i="25"/>
  <c r="G66" i="25"/>
  <c r="F12" i="25"/>
  <c r="E16" i="2"/>
  <c r="K36" i="25"/>
  <c r="F8" i="1"/>
  <c r="K25" i="25"/>
  <c r="K35" i="25"/>
  <c r="G36" i="25"/>
  <c r="P210" i="3"/>
  <c r="P168" i="3"/>
  <c r="P169" i="3" s="1"/>
  <c r="D299" i="3"/>
  <c r="H36" i="3"/>
  <c r="F21" i="25"/>
  <c r="G21" i="25"/>
  <c r="E96" i="2"/>
  <c r="E80" i="2"/>
  <c r="E48" i="2"/>
  <c r="E64" i="2"/>
  <c r="L36" i="3" l="1"/>
  <c r="P25" i="3"/>
  <c r="P28" i="3"/>
  <c r="K36" i="3"/>
  <c r="H172" i="3"/>
  <c r="P62" i="3"/>
  <c r="D36" i="3"/>
  <c r="E172" i="3"/>
  <c r="E179" i="3" s="1"/>
  <c r="P66" i="3"/>
  <c r="P48" i="3"/>
  <c r="P21" i="3"/>
  <c r="P350" i="3"/>
  <c r="P319" i="3"/>
  <c r="P205" i="3"/>
  <c r="P271" i="3"/>
  <c r="P196" i="3"/>
  <c r="H110" i="3"/>
  <c r="L179" i="3"/>
  <c r="N36" i="3"/>
  <c r="D402" i="3"/>
  <c r="P414" i="3"/>
  <c r="F159" i="3"/>
  <c r="P357" i="3"/>
  <c r="P371" i="3"/>
  <c r="P327" i="3"/>
  <c r="I172" i="3"/>
  <c r="I179" i="3" s="1"/>
  <c r="P445" i="3"/>
  <c r="P409" i="3"/>
  <c r="P303" i="3"/>
  <c r="K304" i="3"/>
  <c r="L246" i="3"/>
  <c r="G110" i="3"/>
  <c r="P86" i="3"/>
  <c r="F36" i="3"/>
  <c r="N358" i="3"/>
  <c r="M304" i="3"/>
  <c r="P171" i="3"/>
  <c r="P457" i="3"/>
  <c r="F402" i="3"/>
  <c r="P267" i="3"/>
  <c r="O179" i="3"/>
  <c r="P448" i="3"/>
  <c r="I246" i="3"/>
  <c r="J196" i="3"/>
  <c r="P461" i="3"/>
  <c r="P262" i="3"/>
  <c r="P248" i="3"/>
  <c r="P452" i="3"/>
  <c r="D358" i="3"/>
  <c r="P360" i="3"/>
  <c r="P293" i="3"/>
  <c r="P190" i="3"/>
  <c r="H179" i="3"/>
  <c r="M110" i="3"/>
  <c r="E110" i="3"/>
  <c r="P52" i="3"/>
  <c r="J36" i="3"/>
  <c r="M36" i="3"/>
  <c r="P299" i="3"/>
  <c r="J179" i="3"/>
  <c r="D110" i="3"/>
  <c r="D446" i="3"/>
  <c r="I358" i="3"/>
  <c r="O304" i="3"/>
  <c r="L304" i="3"/>
  <c r="P140" i="3"/>
  <c r="P122" i="3"/>
  <c r="P112" i="3"/>
  <c r="K110" i="3"/>
  <c r="O36" i="3"/>
  <c r="J246" i="3"/>
  <c r="L110" i="3"/>
  <c r="L446" i="3"/>
  <c r="M358" i="3"/>
  <c r="O358" i="3"/>
  <c r="L358" i="3"/>
  <c r="P161" i="3"/>
  <c r="P166" i="3" s="1"/>
  <c r="P439" i="3"/>
  <c r="P286" i="3"/>
  <c r="K246" i="3"/>
  <c r="H446" i="3"/>
  <c r="D286" i="3"/>
  <c r="D304" i="3" s="1"/>
  <c r="G246" i="3"/>
  <c r="J446" i="3"/>
  <c r="I304" i="3"/>
  <c r="P102" i="3"/>
  <c r="G36" i="3"/>
  <c r="P152" i="3"/>
  <c r="P159" i="3" s="1"/>
  <c r="P404" i="3"/>
  <c r="E304" i="3"/>
  <c r="P296" i="3"/>
  <c r="P228" i="3"/>
  <c r="P235" i="3"/>
  <c r="P245" i="3"/>
  <c r="F304" i="3"/>
  <c r="P306" i="3"/>
  <c r="M179" i="3"/>
  <c r="J358" i="3"/>
  <c r="H304" i="3"/>
  <c r="H246" i="3"/>
  <c r="O446" i="3"/>
  <c r="K358" i="3"/>
  <c r="J110" i="3"/>
  <c r="P99" i="3"/>
  <c r="P95" i="3"/>
  <c r="P74" i="3"/>
  <c r="P35" i="3"/>
  <c r="P388" i="3"/>
  <c r="F358" i="3"/>
  <c r="P170" i="3"/>
  <c r="G179" i="3"/>
  <c r="H358" i="3"/>
  <c r="N446" i="3"/>
  <c r="P181" i="3"/>
  <c r="P145" i="3"/>
  <c r="P117" i="3"/>
  <c r="P109" i="3"/>
  <c r="O110" i="3"/>
  <c r="P347" i="3"/>
  <c r="P395" i="3"/>
  <c r="D246" i="3"/>
  <c r="N179" i="3"/>
  <c r="G402" i="3"/>
  <c r="G358" i="3"/>
  <c r="G304" i="3"/>
  <c r="I402" i="3"/>
  <c r="M246" i="3"/>
  <c r="K179" i="3"/>
  <c r="P431" i="3"/>
  <c r="F179" i="3"/>
  <c r="P398" i="3"/>
  <c r="P315" i="3"/>
  <c r="E358" i="3"/>
  <c r="P323" i="3"/>
  <c r="P241" i="3"/>
  <c r="P258" i="3"/>
  <c r="F110" i="3"/>
  <c r="P392" i="3"/>
  <c r="E446" i="3"/>
  <c r="P252" i="3"/>
  <c r="J304" i="3"/>
  <c r="K446" i="3"/>
  <c r="O246" i="3"/>
  <c r="P136" i="3"/>
  <c r="P132" i="3"/>
  <c r="P126" i="3"/>
  <c r="N110" i="3"/>
  <c r="P178" i="3"/>
  <c r="P342" i="3"/>
  <c r="P366" i="3"/>
  <c r="P401" i="3"/>
  <c r="F446" i="3"/>
  <c r="P310" i="3"/>
  <c r="P214" i="3"/>
  <c r="F246" i="3"/>
  <c r="I446" i="3"/>
  <c r="H402" i="3"/>
  <c r="M446" i="3"/>
  <c r="N304" i="3"/>
  <c r="N246" i="3"/>
  <c r="I102" i="3"/>
  <c r="I110" i="3" s="1"/>
  <c r="P436" i="3"/>
  <c r="P442" i="3"/>
  <c r="E246" i="3"/>
  <c r="D179" i="3"/>
  <c r="P186" i="3"/>
  <c r="P200" i="3"/>
  <c r="G446" i="3"/>
  <c r="E402" i="3"/>
  <c r="P70" i="3"/>
  <c r="P43" i="3"/>
  <c r="P58" i="3"/>
  <c r="P38" i="3"/>
  <c r="I36" i="3"/>
  <c r="P12" i="3"/>
  <c r="P36" i="3" l="1"/>
  <c r="P358" i="3"/>
  <c r="P172" i="3"/>
  <c r="P179" i="3" s="1"/>
  <c r="P110" i="3"/>
  <c r="P402" i="3"/>
  <c r="P246" i="3"/>
  <c r="P304" i="3"/>
  <c r="P446" i="3"/>
  <c r="G35" i="25"/>
  <c r="F35" i="25"/>
  <c r="K12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HMC</author>
  </authors>
  <commentList>
    <comment ref="G534" authorId="0" shapeId="0" xr:uid="{72D0EEF1-D7ED-47D9-AD26-40FAF82D4504}">
      <text>
        <r>
          <rPr>
            <sz val="7"/>
            <color indexed="81"/>
            <rFont val="굴림"/>
            <family val="3"/>
            <charset val="129"/>
          </rPr>
          <t>아반떼쿠페 35대 포함</t>
        </r>
      </text>
    </comment>
    <comment ref="H534" authorId="0" shapeId="0" xr:uid="{A7375642-D444-40C0-BBB6-8E1E5EC5CF6F}">
      <text>
        <r>
          <rPr>
            <sz val="7"/>
            <color indexed="81"/>
            <rFont val="굴림"/>
            <family val="3"/>
            <charset val="129"/>
          </rPr>
          <t>쿠페 95대 포함</t>
        </r>
      </text>
    </comment>
  </commentList>
</comments>
</file>

<file path=xl/sharedStrings.xml><?xml version="1.0" encoding="utf-8"?>
<sst xmlns="http://schemas.openxmlformats.org/spreadsheetml/2006/main" count="904" uniqueCount="225">
  <si>
    <t>계</t>
    <phoneticPr fontId="2" type="noConversion"/>
  </si>
  <si>
    <t>차    종</t>
    <phoneticPr fontId="2" type="noConversion"/>
  </si>
  <si>
    <t>총      계</t>
    <phoneticPr fontId="2" type="noConversion"/>
  </si>
  <si>
    <t>i30</t>
    <phoneticPr fontId="2" type="noConversion"/>
  </si>
  <si>
    <t>제네시스</t>
    <phoneticPr fontId="2" type="noConversion"/>
  </si>
  <si>
    <t>제네시스쿠페</t>
    <phoneticPr fontId="2" type="noConversion"/>
  </si>
  <si>
    <t>에쿠스</t>
    <phoneticPr fontId="2" type="noConversion"/>
  </si>
  <si>
    <t>투싼ix</t>
    <phoneticPr fontId="2" type="noConversion"/>
  </si>
  <si>
    <t>싼타페</t>
    <phoneticPr fontId="2" type="noConversion"/>
  </si>
  <si>
    <t>소상</t>
    <phoneticPr fontId="2" type="noConversion"/>
  </si>
  <si>
    <t>대형</t>
    <phoneticPr fontId="2" type="noConversion"/>
  </si>
  <si>
    <t>스타렉스</t>
    <phoneticPr fontId="2" type="noConversion"/>
  </si>
  <si>
    <t>포터</t>
    <phoneticPr fontId="2" type="noConversion"/>
  </si>
  <si>
    <t>버스</t>
    <phoneticPr fontId="2" type="noConversion"/>
  </si>
  <si>
    <t>트럭</t>
    <phoneticPr fontId="2" type="noConversion"/>
  </si>
  <si>
    <t>해외</t>
    <phoneticPr fontId="2" type="noConversion"/>
  </si>
  <si>
    <t>국내</t>
    <phoneticPr fontId="2" type="noConversion"/>
  </si>
  <si>
    <t xml:space="preserve">              </t>
  </si>
  <si>
    <t>차종</t>
  </si>
  <si>
    <t>스타렉스</t>
  </si>
  <si>
    <t>포터</t>
  </si>
  <si>
    <t>엑센트</t>
    <phoneticPr fontId="2" type="noConversion"/>
  </si>
  <si>
    <t>벨로스터</t>
    <phoneticPr fontId="2" type="noConversion"/>
  </si>
  <si>
    <t>하이브리드</t>
    <phoneticPr fontId="2" type="noConversion"/>
  </si>
  <si>
    <t>아반떼</t>
    <phoneticPr fontId="2" type="noConversion"/>
  </si>
  <si>
    <t>쏘나타</t>
    <phoneticPr fontId="2" type="noConversion"/>
  </si>
  <si>
    <t>YF</t>
    <phoneticPr fontId="2" type="noConversion"/>
  </si>
  <si>
    <t>그랜저</t>
    <phoneticPr fontId="2" type="noConversion"/>
  </si>
  <si>
    <t>MD</t>
    <phoneticPr fontId="2" type="noConversion"/>
  </si>
  <si>
    <t>전월대비
(%)</t>
    <phoneticPr fontId="38" type="noConversion"/>
  </si>
  <si>
    <t>전년
누계대비
(%)</t>
    <phoneticPr fontId="38" type="noConversion"/>
  </si>
  <si>
    <t>벨로스터</t>
    <phoneticPr fontId="38" type="noConversion"/>
  </si>
  <si>
    <t>i30</t>
    <phoneticPr fontId="38" type="noConversion"/>
  </si>
  <si>
    <t>RV 계</t>
    <phoneticPr fontId="38" type="noConversion"/>
  </si>
  <si>
    <t>소상 계</t>
    <phoneticPr fontId="38" type="noConversion"/>
  </si>
  <si>
    <t>버스</t>
    <phoneticPr fontId="38" type="noConversion"/>
  </si>
  <si>
    <t>대형 계</t>
    <phoneticPr fontId="38" type="noConversion"/>
  </si>
  <si>
    <t>국내 판매 계</t>
    <phoneticPr fontId="38" type="noConversion"/>
  </si>
  <si>
    <t>해외 판매 계</t>
    <phoneticPr fontId="2" type="noConversion"/>
  </si>
  <si>
    <t>완성차 계</t>
    <phoneticPr fontId="38" type="noConversion"/>
  </si>
  <si>
    <t>구  분</t>
    <phoneticPr fontId="2" type="noConversion"/>
  </si>
  <si>
    <t>전년동월
대비 (%)</t>
    <phoneticPr fontId="2" type="noConversion"/>
  </si>
  <si>
    <t>전월
대비 (%)</t>
    <phoneticPr fontId="2" type="noConversion"/>
  </si>
  <si>
    <t>전년누계
대비 (%)</t>
    <phoneticPr fontId="2" type="noConversion"/>
  </si>
  <si>
    <t>i40</t>
    <phoneticPr fontId="2" type="noConversion"/>
  </si>
  <si>
    <t>RV</t>
    <phoneticPr fontId="2" type="noConversion"/>
  </si>
  <si>
    <t>승용</t>
    <phoneticPr fontId="2" type="noConversion"/>
  </si>
  <si>
    <t>전년동월
대비</t>
    <phoneticPr fontId="2" type="noConversion"/>
  </si>
  <si>
    <t>전월
대비</t>
    <phoneticPr fontId="2" type="noConversion"/>
  </si>
  <si>
    <t>국내</t>
    <phoneticPr fontId="2" type="noConversion"/>
  </si>
  <si>
    <t>계</t>
    <phoneticPr fontId="2" type="noConversion"/>
  </si>
  <si>
    <t>맥스크루즈</t>
    <phoneticPr fontId="2" type="noConversion"/>
  </si>
  <si>
    <t>HG</t>
    <phoneticPr fontId="2" type="noConversion"/>
  </si>
  <si>
    <t>LF</t>
    <phoneticPr fontId="2" type="noConversion"/>
  </si>
  <si>
    <t>-</t>
    <phoneticPr fontId="2" type="noConversion"/>
  </si>
  <si>
    <t>베라크루즈</t>
    <phoneticPr fontId="2" type="noConversion"/>
  </si>
  <si>
    <t>아슬란</t>
    <phoneticPr fontId="2" type="noConversion"/>
  </si>
  <si>
    <t>LF 하이브리드</t>
    <phoneticPr fontId="2" type="noConversion"/>
  </si>
  <si>
    <t>※ 2015년</t>
    <phoneticPr fontId="2" type="noConversion"/>
  </si>
  <si>
    <t>전년
동월대비
(%)</t>
    <phoneticPr fontId="2" type="noConversion"/>
  </si>
  <si>
    <t>투싼</t>
    <phoneticPr fontId="2" type="noConversion"/>
  </si>
  <si>
    <t>신형 투싼</t>
    <phoneticPr fontId="2" type="noConversion"/>
  </si>
  <si>
    <t>AD</t>
    <phoneticPr fontId="2" type="noConversion"/>
  </si>
  <si>
    <t>·</t>
    <phoneticPr fontId="2" type="noConversion"/>
  </si>
  <si>
    <t>제네시스 계</t>
    <phoneticPr fontId="38" type="noConversion"/>
  </si>
  <si>
    <t>EQ900</t>
    <phoneticPr fontId="2" type="noConversion"/>
  </si>
  <si>
    <t>DH제네시스</t>
    <phoneticPr fontId="2" type="noConversion"/>
  </si>
  <si>
    <t>2016년</t>
    <phoneticPr fontId="2" type="noConversion"/>
  </si>
  <si>
    <t>※ 2016년</t>
    <phoneticPr fontId="2" type="noConversion"/>
  </si>
  <si>
    <t>아이오닉</t>
    <phoneticPr fontId="2" type="noConversion"/>
  </si>
  <si>
    <t>2월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</si>
  <si>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</si>
  <si>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</si>
  <si>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</si>
  <si>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아이오닉</t>
    <phoneticPr fontId="2" type="noConversion"/>
  </si>
  <si>
    <t>전기차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</si>
  <si>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</si>
  <si>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</si>
  <si>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</si>
  <si>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</si>
  <si>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IG</t>
    <phoneticPr fontId="2" type="noConversion"/>
  </si>
  <si>
    <t>11월</t>
    <phoneticPr fontId="2" type="noConversion"/>
  </si>
  <si>
    <t>12월</t>
    <phoneticPr fontId="2" type="noConversion"/>
  </si>
  <si>
    <t>2017년</t>
    <phoneticPr fontId="2" type="noConversion"/>
  </si>
  <si>
    <t>※ 2017년</t>
    <phoneticPr fontId="2" type="noConversion"/>
  </si>
  <si>
    <t>하이브리드(HG)</t>
    <phoneticPr fontId="2" type="noConversion"/>
  </si>
  <si>
    <t>하이브리드(IG)</t>
    <phoneticPr fontId="2" type="noConversion"/>
  </si>
  <si>
    <t>차    종</t>
  </si>
  <si>
    <t>계</t>
  </si>
  <si>
    <t>승용</t>
  </si>
  <si>
    <t>엑센트</t>
  </si>
  <si>
    <t>벨로스터</t>
  </si>
  <si>
    <t>아반떼</t>
  </si>
  <si>
    <t>아이오닉</t>
  </si>
  <si>
    <t>i30</t>
  </si>
  <si>
    <t>쏘나타</t>
  </si>
  <si>
    <t>i40</t>
  </si>
  <si>
    <t>그랜저</t>
  </si>
  <si>
    <t>아슬란</t>
  </si>
  <si>
    <t>제네시스쿠페</t>
  </si>
  <si>
    <t>에쿠스</t>
  </si>
  <si>
    <t>RV</t>
  </si>
  <si>
    <t>투싼</t>
  </si>
  <si>
    <t>싼타페</t>
  </si>
  <si>
    <t>맥스크루즈</t>
  </si>
  <si>
    <t>소상</t>
  </si>
  <si>
    <t>대형</t>
  </si>
  <si>
    <t>버스</t>
  </si>
  <si>
    <t>트럭</t>
  </si>
  <si>
    <t>제네시스</t>
  </si>
  <si>
    <t>G80/제네시스</t>
  </si>
  <si>
    <t>EQ900</t>
  </si>
  <si>
    <t>총      계</t>
  </si>
  <si>
    <t>전년누계
대비</t>
    <phoneticPr fontId="2" type="noConversion"/>
  </si>
  <si>
    <t>코나</t>
    <phoneticPr fontId="2" type="noConversion"/>
  </si>
  <si>
    <t>코나</t>
    <phoneticPr fontId="2" type="noConversion"/>
  </si>
  <si>
    <t>G70</t>
    <phoneticPr fontId="2" type="noConversion"/>
  </si>
  <si>
    <t>G70</t>
    <phoneticPr fontId="2" type="noConversion"/>
  </si>
  <si>
    <t>G80</t>
    <phoneticPr fontId="2" type="noConversion"/>
  </si>
  <si>
    <t>해외</t>
    <phoneticPr fontId="2" type="noConversion"/>
  </si>
  <si>
    <t>2018년</t>
    <phoneticPr fontId="2" type="noConversion"/>
  </si>
  <si>
    <t>※ 2018년</t>
    <phoneticPr fontId="2" type="noConversion"/>
  </si>
  <si>
    <t>싼타페</t>
    <phoneticPr fontId="2" type="noConversion"/>
  </si>
  <si>
    <t>DM</t>
    <phoneticPr fontId="2" type="noConversion"/>
  </si>
  <si>
    <t>TM</t>
    <phoneticPr fontId="2" type="noConversion"/>
  </si>
  <si>
    <t>넥쏘</t>
    <phoneticPr fontId="2" type="noConversion"/>
  </si>
  <si>
    <t>넥쏘</t>
    <phoneticPr fontId="2" type="noConversion"/>
  </si>
  <si>
    <t>승용 계</t>
    <phoneticPr fontId="38" type="noConversion"/>
  </si>
  <si>
    <t>코나</t>
    <phoneticPr fontId="2" type="noConversion"/>
  </si>
  <si>
    <t>OS</t>
    <phoneticPr fontId="2" type="noConversion"/>
  </si>
  <si>
    <t>G90/EQ900</t>
    <phoneticPr fontId="2" type="noConversion"/>
  </si>
  <si>
    <t>EQ900</t>
    <phoneticPr fontId="2" type="noConversion"/>
  </si>
  <si>
    <t>G90</t>
    <phoneticPr fontId="2" type="noConversion"/>
  </si>
  <si>
    <t>G90/EQ900</t>
    <phoneticPr fontId="2" type="noConversion"/>
  </si>
  <si>
    <t>팰리세이드</t>
    <phoneticPr fontId="2" type="noConversion"/>
  </si>
  <si>
    <t>팰리세이드</t>
    <phoneticPr fontId="2" type="noConversion"/>
  </si>
  <si>
    <t>※ 2019년</t>
    <phoneticPr fontId="2" type="noConversion"/>
  </si>
  <si>
    <t>DN8</t>
    <phoneticPr fontId="2" type="noConversion"/>
  </si>
  <si>
    <t>베뉴</t>
    <phoneticPr fontId="2" type="noConversion"/>
  </si>
  <si>
    <t>베뉴</t>
    <phoneticPr fontId="2" type="noConversion"/>
  </si>
  <si>
    <t>DN8 HEV</t>
    <phoneticPr fontId="2" type="noConversion"/>
  </si>
  <si>
    <t>IG HEV</t>
    <phoneticPr fontId="2" type="noConversion"/>
  </si>
  <si>
    <t>LF HEV</t>
    <phoneticPr fontId="2" type="noConversion"/>
  </si>
  <si>
    <t>HEV</t>
    <phoneticPr fontId="2" type="noConversion"/>
  </si>
  <si>
    <t>EV</t>
    <phoneticPr fontId="2" type="noConversion"/>
  </si>
  <si>
    <t>EV</t>
    <phoneticPr fontId="2" type="noConversion"/>
  </si>
  <si>
    <t>포터</t>
    <phoneticPr fontId="2" type="noConversion"/>
  </si>
  <si>
    <t>2020년</t>
    <phoneticPr fontId="2" type="noConversion"/>
  </si>
  <si>
    <t>※ 2020년</t>
    <phoneticPr fontId="2" type="noConversion"/>
  </si>
  <si>
    <t>GV80</t>
    <phoneticPr fontId="2" type="noConversion"/>
  </si>
  <si>
    <t>GV80</t>
    <phoneticPr fontId="2" type="noConversion"/>
  </si>
  <si>
    <t>DH</t>
    <phoneticPr fontId="2" type="noConversion"/>
  </si>
  <si>
    <t>RG3</t>
    <phoneticPr fontId="2" type="noConversion"/>
  </si>
  <si>
    <t>AD</t>
    <phoneticPr fontId="2" type="noConversion"/>
  </si>
  <si>
    <t>CN7</t>
    <phoneticPr fontId="2" type="noConversion"/>
  </si>
  <si>
    <t>CN7 HEV</t>
    <phoneticPr fontId="2" type="noConversion"/>
  </si>
  <si>
    <t>TL</t>
    <phoneticPr fontId="2" type="noConversion"/>
  </si>
  <si>
    <t>NX4</t>
    <phoneticPr fontId="2" type="noConversion"/>
  </si>
  <si>
    <t>NX4 HEV</t>
    <phoneticPr fontId="2" type="noConversion"/>
  </si>
  <si>
    <t>수소전기차</t>
    <phoneticPr fontId="2" type="noConversion"/>
  </si>
  <si>
    <t>친환경차 합계</t>
    <phoneticPr fontId="2" type="noConversion"/>
  </si>
  <si>
    <t>※ 국내 친환경차 판매(하이브리드 / 전기차 / 수소전기차)</t>
    <phoneticPr fontId="2" type="noConversion"/>
  </si>
  <si>
    <t>GV70</t>
    <phoneticPr fontId="2" type="noConversion"/>
  </si>
  <si>
    <t>GV70</t>
    <phoneticPr fontId="2" type="noConversion"/>
  </si>
  <si>
    <t>※ 2021년</t>
    <phoneticPr fontId="2" type="noConversion"/>
  </si>
  <si>
    <t>2021년</t>
    <phoneticPr fontId="2" type="noConversion"/>
  </si>
  <si>
    <t>2월</t>
    <phoneticPr fontId="2" type="noConversion"/>
  </si>
  <si>
    <t>구 분</t>
    <phoneticPr fontId="2" type="noConversion"/>
  </si>
  <si>
    <t>2019년</t>
    <phoneticPr fontId="2" type="noConversion"/>
  </si>
  <si>
    <t>3월</t>
    <phoneticPr fontId="2" type="noConversion"/>
  </si>
  <si>
    <t>4월</t>
    <phoneticPr fontId="2" type="noConversion"/>
  </si>
  <si>
    <t>아이오닉 5</t>
    <phoneticPr fontId="2" type="noConversion"/>
  </si>
  <si>
    <t>스타리아</t>
    <phoneticPr fontId="2" type="noConversion"/>
  </si>
  <si>
    <t>아이오닉 5</t>
    <phoneticPr fontId="2" type="noConversion"/>
  </si>
  <si>
    <t>스타리아</t>
    <phoneticPr fontId="2" type="noConversion"/>
  </si>
  <si>
    <t>5월</t>
    <phoneticPr fontId="2" type="noConversion"/>
  </si>
  <si>
    <t>6월</t>
    <phoneticPr fontId="2" type="noConversion"/>
  </si>
  <si>
    <t>N</t>
    <phoneticPr fontId="2" type="noConversion"/>
  </si>
  <si>
    <t>7월</t>
    <phoneticPr fontId="2" type="noConversion"/>
  </si>
  <si>
    <t>G80</t>
    <phoneticPr fontId="2" type="noConversion"/>
  </si>
  <si>
    <t>산타페</t>
    <phoneticPr fontId="2" type="noConversion"/>
  </si>
  <si>
    <t>TM HEV</t>
    <phoneticPr fontId="2" type="noConversion"/>
  </si>
  <si>
    <t>8월</t>
    <phoneticPr fontId="2" type="noConversion"/>
  </si>
  <si>
    <t>9월</t>
    <phoneticPr fontId="2" type="noConversion"/>
  </si>
  <si>
    <t>캐스퍼</t>
    <phoneticPr fontId="2" type="noConversion"/>
  </si>
  <si>
    <t>캐스퍼</t>
    <phoneticPr fontId="2" type="noConversion"/>
  </si>
  <si>
    <t>10월</t>
    <phoneticPr fontId="2" type="noConversion"/>
  </si>
  <si>
    <t>GV60</t>
    <phoneticPr fontId="2" type="noConversion"/>
  </si>
  <si>
    <t>GV60</t>
    <phoneticPr fontId="2" type="noConversion"/>
  </si>
  <si>
    <t>11월</t>
    <phoneticPr fontId="2" type="noConversion"/>
  </si>
  <si>
    <t>12월</t>
    <phoneticPr fontId="2" type="noConversion"/>
  </si>
  <si>
    <t>■ 현대차 2022년 내수 월별 판매실적</t>
    <phoneticPr fontId="2" type="noConversion"/>
  </si>
  <si>
    <t>※ 2022년</t>
    <phoneticPr fontId="2" type="noConversion"/>
  </si>
  <si>
    <t>2022년</t>
    <phoneticPr fontId="2" type="noConversion"/>
  </si>
  <si>
    <t>2022년</t>
    <phoneticPr fontId="2" type="noConversion"/>
  </si>
  <si>
    <t>JK</t>
    <phoneticPr fontId="2" type="noConversion"/>
  </si>
  <si>
    <t>RG3 EV</t>
    <phoneticPr fontId="2" type="noConversion"/>
  </si>
  <si>
    <t>JK EV</t>
    <phoneticPr fontId="2" type="noConversion"/>
  </si>
  <si>
    <t>HR</t>
    <phoneticPr fontId="2" type="noConversion"/>
  </si>
  <si>
    <t>HR EV</t>
    <phoneticPr fontId="2" type="noConversion"/>
  </si>
  <si>
    <t>※ 2014년</t>
    <phoneticPr fontId="2" type="noConversion"/>
  </si>
  <si>
    <t>NF</t>
    <phoneticPr fontId="2" type="noConversion"/>
  </si>
  <si>
    <t>YF 하이브리드</t>
    <phoneticPr fontId="2" type="noConversion"/>
  </si>
  <si>
    <t>※ 2013년</t>
    <phoneticPr fontId="2" type="noConversion"/>
  </si>
  <si>
    <t>※ 2012년</t>
    <phoneticPr fontId="2" type="noConversion"/>
  </si>
  <si>
    <t>※ 2011년</t>
    <phoneticPr fontId="2" type="noConversion"/>
  </si>
  <si>
    <t>승
용</t>
    <phoneticPr fontId="2" type="noConversion"/>
  </si>
  <si>
    <t>클릭</t>
    <phoneticPr fontId="2" type="noConversion"/>
  </si>
  <si>
    <t>베르나</t>
    <phoneticPr fontId="2" type="noConversion"/>
  </si>
  <si>
    <t>i40왜건</t>
    <phoneticPr fontId="2" type="noConversion"/>
  </si>
  <si>
    <t>i40살룬</t>
    <phoneticPr fontId="2" type="noConversion"/>
  </si>
  <si>
    <t>구형(CM)</t>
    <phoneticPr fontId="2" type="noConversion"/>
  </si>
  <si>
    <t>신형(DM)</t>
    <phoneticPr fontId="2" type="noConversion"/>
  </si>
  <si>
    <t>TG</t>
    <phoneticPr fontId="2" type="noConversion"/>
  </si>
  <si>
    <t>※ 2010년</t>
    <phoneticPr fontId="2" type="noConversion"/>
  </si>
  <si>
    <t>아반떼HD</t>
    <phoneticPr fontId="2" type="noConversion"/>
  </si>
  <si>
    <t>아반떼MD</t>
    <phoneticPr fontId="2" type="noConversion"/>
  </si>
  <si>
    <t>아반떼HEV</t>
    <phoneticPr fontId="2" type="noConversion"/>
  </si>
  <si>
    <t>쏘나타NF</t>
    <phoneticPr fontId="2" type="noConversion"/>
  </si>
  <si>
    <t>쏘나타YF</t>
    <phoneticPr fontId="2" type="noConversion"/>
  </si>
  <si>
    <t>※ 2009년</t>
    <phoneticPr fontId="2" type="noConversion"/>
  </si>
  <si>
    <t>아이오닉 6</t>
    <phoneticPr fontId="2" type="noConversion"/>
  </si>
  <si>
    <t>■ 현대차 2022년 10월 판매실적</t>
    <phoneticPr fontId="2" type="noConversion"/>
  </si>
  <si>
    <t>'22년
1~10월</t>
    <phoneticPr fontId="2" type="noConversion"/>
  </si>
  <si>
    <t>'21년
1~10월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</si>
</sst>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[Red]\(#,##0\)"/>
    <numFmt numFmtId="179" formatCode="0&quot;월&quot;"/>
    <numFmt numFmtId="180" formatCode="&quot;1-&quot;0&quot;월&quot;"/>
    <numFmt numFmtId="181" formatCode="#&quot;년&quot;"/>
    <numFmt numFmtId="182" formatCode="####&quot;년&quot;"/>
    <numFmt numFmtId="183" formatCode="0&quot;년&quot;"/>
    <numFmt numFmtId="184" formatCode="&quot;■ 현대차 2010년 &quot;##&quot;월 판매실적&quot;"/>
  </numFmts>
  <fonts count="6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HY헤드라인M"/>
      <family val="1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10"/>
      <name val="HY헤드라인M"/>
      <family val="1"/>
      <charset val="129"/>
    </font>
    <font>
      <sz val="7.5"/>
      <name val="돋움"/>
      <family val="3"/>
      <charset val="129"/>
    </font>
    <font>
      <sz val="1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name val="HY헤드라인M"/>
      <family val="1"/>
      <charset val="129"/>
    </font>
    <font>
      <sz val="12"/>
      <name val="HY헤드라인M"/>
      <family val="1"/>
      <charset val="129"/>
    </font>
    <font>
      <sz val="12"/>
      <name val="Times New Roman"/>
      <family val="1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Times New Roman"/>
      <family val="1"/>
    </font>
    <font>
      <sz val="9"/>
      <name val="새굴림"/>
      <family val="1"/>
      <charset val="129"/>
    </font>
    <font>
      <sz val="10"/>
      <name val="굴림"/>
      <family val="3"/>
      <charset val="129"/>
    </font>
    <font>
      <sz val="10"/>
      <name val="Arial"/>
      <family val="2"/>
    </font>
    <font>
      <sz val="11"/>
      <name val="Arial"/>
      <family val="2"/>
    </font>
    <font>
      <sz val="11"/>
      <name val="HY헤드라인M"/>
      <family val="1"/>
      <charset val="129"/>
    </font>
    <font>
      <sz val="12"/>
      <name val="굴림"/>
      <family val="3"/>
      <charset val="129"/>
    </font>
    <font>
      <sz val="8"/>
      <name val="굴림"/>
      <family val="3"/>
      <charset val="129"/>
    </font>
    <font>
      <sz val="8"/>
      <color indexed="10"/>
      <name val="돋움"/>
      <family val="3"/>
      <charset val="129"/>
    </font>
    <font>
      <sz val="9"/>
      <name val="Times New Roman"/>
      <family val="1"/>
    </font>
    <font>
      <sz val="11"/>
      <name val="바탕"/>
      <family val="1"/>
      <charset val="129"/>
    </font>
    <font>
      <sz val="7.5"/>
      <name val="HY헤드라인M"/>
      <family val="1"/>
      <charset val="129"/>
    </font>
    <font>
      <b/>
      <sz val="8"/>
      <name val="돋움"/>
      <family val="3"/>
      <charset val="129"/>
    </font>
    <font>
      <sz val="9"/>
      <name val="굴림"/>
      <family val="3"/>
      <charset val="129"/>
    </font>
    <font>
      <sz val="12"/>
      <name val="바탕"/>
      <family val="1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  <font>
      <b/>
      <sz val="12"/>
      <name val="가는각진제목체"/>
      <family val="1"/>
      <charset val="129"/>
    </font>
    <font>
      <sz val="12"/>
      <name val="가는각진제목체"/>
      <family val="1"/>
      <charset val="129"/>
    </font>
    <font>
      <sz val="8"/>
      <name val="Times New Roman"/>
      <family val="1"/>
    </font>
    <font>
      <sz val="9"/>
      <name val="HY헤드라인M"/>
      <family val="1"/>
      <charset val="129"/>
    </font>
    <font>
      <sz val="8"/>
      <name val="HY헤드라인M"/>
      <family val="1"/>
      <charset val="129"/>
    </font>
    <font>
      <sz val="7"/>
      <name val="HY헤드라인M"/>
      <family val="1"/>
      <charset val="129"/>
    </font>
    <font>
      <b/>
      <sz val="10"/>
      <name val="Arial"/>
      <family val="2"/>
    </font>
    <font>
      <i/>
      <sz val="9"/>
      <name val="HY헤드라인M"/>
      <family val="1"/>
      <charset val="129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HY헤드라인M"/>
      <family val="1"/>
      <charset val="129"/>
    </font>
    <font>
      <b/>
      <sz val="11"/>
      <name val="Arial"/>
      <family val="2"/>
    </font>
    <font>
      <sz val="11"/>
      <color theme="1"/>
      <name val="기아 Medium"/>
      <family val="3"/>
      <charset val="129"/>
    </font>
    <font>
      <b/>
      <sz val="10"/>
      <color theme="1"/>
      <name val="Arial"/>
      <family val="2"/>
    </font>
    <font>
      <sz val="11"/>
      <color rgb="FFFF0000"/>
      <name val="굴림"/>
      <family val="3"/>
      <charset val="129"/>
    </font>
    <font>
      <sz val="7"/>
      <color indexed="81"/>
      <name val="굴림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60" fillId="0" borderId="0">
      <alignment vertical="center"/>
    </xf>
    <xf numFmtId="0" fontId="1" fillId="0" borderId="0"/>
  </cellStyleXfs>
  <cellXfs count="4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82" fontId="4" fillId="0" borderId="10" xfId="0" applyNumberFormat="1" applyFont="1" applyBorder="1" applyAlignment="1">
      <alignment horizontal="center"/>
    </xf>
    <xf numFmtId="49" fontId="0" fillId="0" borderId="0" xfId="0" applyNumberFormat="1" applyBorder="1">
      <alignment vertical="center"/>
    </xf>
    <xf numFmtId="179" fontId="4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4" fillId="0" borderId="0" xfId="33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>
      <alignment vertical="center"/>
    </xf>
    <xf numFmtId="41" fontId="6" fillId="0" borderId="0" xfId="33" applyFont="1">
      <alignment vertical="center"/>
    </xf>
    <xf numFmtId="0" fontId="2" fillId="24" borderId="0" xfId="0" applyFont="1" applyFill="1">
      <alignment vertical="center"/>
    </xf>
    <xf numFmtId="41" fontId="2" fillId="0" borderId="0" xfId="33" applyFont="1">
      <alignment vertical="center"/>
    </xf>
    <xf numFmtId="0" fontId="2" fillId="0" borderId="0" xfId="0" applyFont="1">
      <alignment vertical="center"/>
    </xf>
    <xf numFmtId="179" fontId="7" fillId="0" borderId="17" xfId="33" applyNumberFormat="1" applyFont="1" applyBorder="1" applyAlignment="1">
      <alignment horizontal="center" vertical="center"/>
    </xf>
    <xf numFmtId="179" fontId="7" fillId="0" borderId="18" xfId="33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0" xfId="0" applyNumberFormat="1" applyFont="1" applyBorder="1">
      <alignment vertical="center"/>
    </xf>
    <xf numFmtId="41" fontId="7" fillId="0" borderId="21" xfId="33" applyFont="1" applyBorder="1" applyAlignment="1">
      <alignment horizontal="center" vertical="center"/>
    </xf>
    <xf numFmtId="41" fontId="7" fillId="0" borderId="22" xfId="33" applyFont="1" applyBorder="1" applyAlignment="1">
      <alignment horizontal="center" vertical="center"/>
    </xf>
    <xf numFmtId="41" fontId="7" fillId="0" borderId="23" xfId="33" applyFont="1" applyBorder="1" applyAlignment="1">
      <alignment horizontal="center" vertical="center"/>
    </xf>
    <xf numFmtId="178" fontId="7" fillId="0" borderId="24" xfId="0" applyNumberFormat="1" applyFont="1" applyBorder="1">
      <alignment vertical="center"/>
    </xf>
    <xf numFmtId="41" fontId="7" fillId="0" borderId="25" xfId="33" applyFont="1" applyBorder="1" applyAlignment="1">
      <alignment horizontal="center" vertical="center"/>
    </xf>
    <xf numFmtId="41" fontId="7" fillId="0" borderId="26" xfId="33" applyFont="1" applyBorder="1" applyAlignment="1">
      <alignment horizontal="center" vertical="center"/>
    </xf>
    <xf numFmtId="41" fontId="7" fillId="0" borderId="27" xfId="33" applyFont="1" applyBorder="1" applyAlignment="1">
      <alignment horizontal="center" vertical="center"/>
    </xf>
    <xf numFmtId="41" fontId="7" fillId="0" borderId="26" xfId="33" applyFont="1" applyFill="1" applyBorder="1" applyAlignment="1">
      <alignment horizontal="center" vertical="center"/>
    </xf>
    <xf numFmtId="178" fontId="7" fillId="0" borderId="24" xfId="0" applyNumberFormat="1" applyFont="1" applyFill="1" applyBorder="1">
      <alignment vertical="center"/>
    </xf>
    <xf numFmtId="41" fontId="7" fillId="0" borderId="25" xfId="33" applyFont="1" applyFill="1" applyBorder="1" applyAlignment="1">
      <alignment horizontal="center" vertical="center"/>
    </xf>
    <xf numFmtId="178" fontId="7" fillId="25" borderId="28" xfId="0" applyNumberFormat="1" applyFont="1" applyFill="1" applyBorder="1" applyAlignment="1">
      <alignment horizontal="center" vertical="center"/>
    </xf>
    <xf numFmtId="41" fontId="7" fillId="25" borderId="25" xfId="33" applyFont="1" applyFill="1" applyBorder="1" applyAlignment="1">
      <alignment horizontal="center" vertical="center"/>
    </xf>
    <xf numFmtId="41" fontId="7" fillId="25" borderId="29" xfId="33" applyFont="1" applyFill="1" applyBorder="1" applyAlignment="1">
      <alignment horizontal="center" vertical="center"/>
    </xf>
    <xf numFmtId="178" fontId="7" fillId="0" borderId="30" xfId="0" applyNumberFormat="1" applyFont="1" applyBorder="1">
      <alignment vertical="center"/>
    </xf>
    <xf numFmtId="41" fontId="7" fillId="0" borderId="31" xfId="33" applyFont="1" applyBorder="1" applyAlignment="1">
      <alignment horizontal="center" vertical="center"/>
    </xf>
    <xf numFmtId="41" fontId="7" fillId="0" borderId="32" xfId="33" applyFont="1" applyBorder="1" applyAlignment="1">
      <alignment horizontal="center" vertical="center"/>
    </xf>
    <xf numFmtId="41" fontId="7" fillId="0" borderId="33" xfId="33" applyFont="1" applyBorder="1" applyAlignment="1">
      <alignment horizontal="center" vertical="center"/>
    </xf>
    <xf numFmtId="178" fontId="7" fillId="25" borderId="34" xfId="0" applyNumberFormat="1" applyFont="1" applyFill="1" applyBorder="1" applyAlignment="1">
      <alignment horizontal="center" vertical="center"/>
    </xf>
    <xf numFmtId="41" fontId="7" fillId="25" borderId="35" xfId="33" applyFont="1" applyFill="1" applyBorder="1" applyAlignment="1">
      <alignment horizontal="center" vertical="center"/>
    </xf>
    <xf numFmtId="41" fontId="7" fillId="25" borderId="36" xfId="33" applyFont="1" applyFill="1" applyBorder="1" applyAlignment="1">
      <alignment horizontal="center" vertical="center"/>
    </xf>
    <xf numFmtId="41" fontId="7" fillId="26" borderId="37" xfId="33" applyFont="1" applyFill="1" applyBorder="1" applyAlignment="1">
      <alignment horizontal="center" vertical="center"/>
    </xf>
    <xf numFmtId="43" fontId="2" fillId="0" borderId="0" xfId="0" applyNumberFormat="1" applyFont="1">
      <alignment vertical="center"/>
    </xf>
    <xf numFmtId="41" fontId="35" fillId="0" borderId="0" xfId="33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39" xfId="0" applyFont="1" applyBorder="1" applyAlignment="1">
      <alignment horizontal="center" vertical="center"/>
    </xf>
    <xf numFmtId="41" fontId="28" fillId="0" borderId="0" xfId="0" applyNumberFormat="1" applyFont="1" applyAlignment="1">
      <alignment vertical="center"/>
    </xf>
    <xf numFmtId="0" fontId="8" fillId="0" borderId="40" xfId="0" quotePrefix="1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40" xfId="0" applyNumberFormat="1" applyFont="1" applyBorder="1" applyAlignment="1">
      <alignment horizontal="center" vertical="center" textRotation="255"/>
    </xf>
    <xf numFmtId="0" fontId="33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36" fillId="27" borderId="45" xfId="0" applyFont="1" applyFill="1" applyBorder="1" applyAlignment="1">
      <alignment horizontal="centerContinuous" vertical="center"/>
    </xf>
    <xf numFmtId="0" fontId="8" fillId="27" borderId="38" xfId="0" applyFont="1" applyFill="1" applyBorder="1" applyAlignment="1">
      <alignment horizontal="centerContinuous" vertical="center"/>
    </xf>
    <xf numFmtId="0" fontId="8" fillId="0" borderId="38" xfId="0" applyFont="1" applyFill="1" applyBorder="1" applyAlignment="1">
      <alignment horizontal="centerContinuous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27" borderId="46" xfId="0" applyFont="1" applyFill="1" applyBorder="1" applyAlignment="1">
      <alignment horizontal="centerContinuous" vertical="center"/>
    </xf>
    <xf numFmtId="0" fontId="37" fillId="0" borderId="0" xfId="0" applyFont="1" applyAlignment="1">
      <alignment vertical="center"/>
    </xf>
    <xf numFmtId="178" fontId="7" fillId="0" borderId="47" xfId="0" applyNumberFormat="1" applyFont="1" applyFill="1" applyBorder="1">
      <alignment vertical="center"/>
    </xf>
    <xf numFmtId="41" fontId="7" fillId="0" borderId="48" xfId="33" applyFont="1" applyFill="1" applyBorder="1" applyAlignment="1">
      <alignment horizontal="center" vertical="center"/>
    </xf>
    <xf numFmtId="178" fontId="7" fillId="0" borderId="47" xfId="0" applyNumberFormat="1" applyFont="1" applyBorder="1">
      <alignment vertical="center"/>
    </xf>
    <xf numFmtId="41" fontId="7" fillId="0" borderId="48" xfId="33" applyFont="1" applyBorder="1" applyAlignment="1">
      <alignment horizontal="center" vertical="center"/>
    </xf>
    <xf numFmtId="178" fontId="7" fillId="0" borderId="49" xfId="0" applyNumberFormat="1" applyFont="1" applyBorder="1">
      <alignment vertical="center"/>
    </xf>
    <xf numFmtId="41" fontId="7" fillId="0" borderId="50" xfId="33" applyFont="1" applyBorder="1" applyAlignment="1">
      <alignment horizontal="center" vertical="center"/>
    </xf>
    <xf numFmtId="41" fontId="7" fillId="0" borderId="51" xfId="33" applyFont="1" applyBorder="1" applyAlignment="1">
      <alignment horizontal="center" vertical="center"/>
    </xf>
    <xf numFmtId="41" fontId="7" fillId="0" borderId="52" xfId="33" applyFont="1" applyBorder="1" applyAlignment="1">
      <alignment horizontal="center" vertical="center"/>
    </xf>
    <xf numFmtId="41" fontId="7" fillId="0" borderId="51" xfId="33" applyFont="1" applyFill="1" applyBorder="1" applyAlignment="1">
      <alignment horizontal="center" vertical="center"/>
    </xf>
    <xf numFmtId="0" fontId="32" fillId="28" borderId="53" xfId="0" quotePrefix="1" applyFont="1" applyFill="1" applyBorder="1" applyAlignment="1">
      <alignment horizontal="center" vertical="center" wrapText="1"/>
    </xf>
    <xf numFmtId="0" fontId="32" fillId="28" borderId="54" xfId="0" applyFont="1" applyFill="1" applyBorder="1" applyAlignment="1">
      <alignment horizontal="center" vertical="center" wrapText="1"/>
    </xf>
    <xf numFmtId="0" fontId="2" fillId="25" borderId="55" xfId="0" applyFont="1" applyFill="1" applyBorder="1">
      <alignment vertical="center"/>
    </xf>
    <xf numFmtId="0" fontId="2" fillId="25" borderId="56" xfId="0" applyFont="1" applyFill="1" applyBorder="1">
      <alignment vertical="center"/>
    </xf>
    <xf numFmtId="41" fontId="2" fillId="25" borderId="56" xfId="33" applyFont="1" applyFill="1" applyBorder="1">
      <alignment vertical="center"/>
    </xf>
    <xf numFmtId="41" fontId="2" fillId="25" borderId="56" xfId="0" applyNumberFormat="1" applyFont="1" applyFill="1" applyBorder="1">
      <alignment vertical="center"/>
    </xf>
    <xf numFmtId="0" fontId="2" fillId="25" borderId="57" xfId="0" applyFont="1" applyFill="1" applyBorder="1">
      <alignment vertical="center"/>
    </xf>
    <xf numFmtId="0" fontId="2" fillId="0" borderId="56" xfId="0" applyFont="1" applyBorder="1">
      <alignment vertical="center"/>
    </xf>
    <xf numFmtId="41" fontId="7" fillId="0" borderId="56" xfId="33" applyFont="1" applyBorder="1" applyAlignment="1">
      <alignment horizontal="center" vertical="center"/>
    </xf>
    <xf numFmtId="41" fontId="2" fillId="0" borderId="56" xfId="0" applyNumberFormat="1" applyFont="1" applyBorder="1">
      <alignment vertical="center"/>
    </xf>
    <xf numFmtId="0" fontId="2" fillId="25" borderId="58" xfId="0" applyFont="1" applyFill="1" applyBorder="1">
      <alignment vertical="center"/>
    </xf>
    <xf numFmtId="41" fontId="2" fillId="0" borderId="56" xfId="33" applyFont="1" applyBorder="1">
      <alignment vertical="center"/>
    </xf>
    <xf numFmtId="0" fontId="39" fillId="0" borderId="0" xfId="0" applyFont="1">
      <alignment vertical="center"/>
    </xf>
    <xf numFmtId="0" fontId="2" fillId="25" borderId="59" xfId="0" applyFont="1" applyFill="1" applyBorder="1">
      <alignment vertical="center"/>
    </xf>
    <xf numFmtId="0" fontId="2" fillId="25" borderId="60" xfId="0" applyFont="1" applyFill="1" applyBorder="1">
      <alignment vertical="center"/>
    </xf>
    <xf numFmtId="0" fontId="2" fillId="0" borderId="0" xfId="0" applyFont="1" applyBorder="1">
      <alignment vertical="center"/>
    </xf>
    <xf numFmtId="41" fontId="2" fillId="0" borderId="0" xfId="33" applyFont="1" applyBorder="1">
      <alignment vertical="center"/>
    </xf>
    <xf numFmtId="41" fontId="2" fillId="0" borderId="0" xfId="0" applyNumberFormat="1" applyFont="1" applyBorder="1">
      <alignment vertical="center"/>
    </xf>
    <xf numFmtId="41" fontId="7" fillId="0" borderId="60" xfId="33" applyFont="1" applyBorder="1" applyAlignment="1">
      <alignment horizontal="center" vertical="center"/>
    </xf>
    <xf numFmtId="41" fontId="2" fillId="0" borderId="60" xfId="33" applyFont="1" applyBorder="1">
      <alignment vertical="center"/>
    </xf>
    <xf numFmtId="41" fontId="7" fillId="0" borderId="61" xfId="33" applyFont="1" applyBorder="1" applyAlignment="1">
      <alignment horizontal="center" vertical="center"/>
    </xf>
    <xf numFmtId="41" fontId="7" fillId="0" borderId="62" xfId="33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8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 wrapText="1"/>
    </xf>
    <xf numFmtId="41" fontId="33" fillId="0" borderId="0" xfId="46" applyNumberFormat="1" applyFont="1" applyAlignment="1">
      <alignment vertical="center"/>
    </xf>
    <xf numFmtId="0" fontId="33" fillId="0" borderId="0" xfId="46" applyFont="1" applyAlignment="1">
      <alignment vertical="center"/>
    </xf>
    <xf numFmtId="0" fontId="33" fillId="0" borderId="0" xfId="46" applyFont="1" applyFill="1" applyBorder="1" applyAlignment="1">
      <alignment vertical="center"/>
    </xf>
    <xf numFmtId="0" fontId="33" fillId="0" borderId="0" xfId="46" applyFont="1" applyFill="1" applyBorder="1" applyAlignment="1">
      <alignment horizontal="left" vertical="center"/>
    </xf>
    <xf numFmtId="0" fontId="40" fillId="0" borderId="0" xfId="46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1" fillId="29" borderId="0" xfId="0" applyFont="1" applyFill="1" applyBorder="1" applyAlignment="1">
      <alignment horizontal="center" vertical="center"/>
    </xf>
    <xf numFmtId="41" fontId="35" fillId="0" borderId="0" xfId="33" applyFont="1" applyBorder="1" applyAlignment="1">
      <alignment vertical="center"/>
    </xf>
    <xf numFmtId="0" fontId="42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33" applyFont="1">
      <alignment vertical="center"/>
    </xf>
    <xf numFmtId="41" fontId="43" fillId="0" borderId="0" xfId="33" applyFont="1">
      <alignment vertical="center"/>
    </xf>
    <xf numFmtId="0" fontId="5" fillId="0" borderId="0" xfId="0" applyFont="1">
      <alignment vertical="center"/>
    </xf>
    <xf numFmtId="180" fontId="4" fillId="0" borderId="63" xfId="0" applyNumberFormat="1" applyFont="1" applyBorder="1" applyAlignment="1">
      <alignment horizontal="center" vertical="top"/>
    </xf>
    <xf numFmtId="181" fontId="5" fillId="26" borderId="64" xfId="0" applyNumberFormat="1" applyFont="1" applyFill="1" applyBorder="1" applyAlignment="1">
      <alignment horizontal="center" wrapText="1"/>
    </xf>
    <xf numFmtId="0" fontId="44" fillId="0" borderId="0" xfId="0" applyFont="1">
      <alignment vertical="center"/>
    </xf>
    <xf numFmtId="41" fontId="4" fillId="0" borderId="0" xfId="0" applyNumberFormat="1" applyFont="1">
      <alignment vertical="center"/>
    </xf>
    <xf numFmtId="0" fontId="32" fillId="30" borderId="54" xfId="0" quotePrefix="1" applyFont="1" applyFill="1" applyBorder="1" applyAlignment="1">
      <alignment horizontal="center" vertical="center" wrapText="1"/>
    </xf>
    <xf numFmtId="41" fontId="7" fillId="0" borderId="56" xfId="33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179" fontId="5" fillId="32" borderId="65" xfId="0" applyNumberFormat="1" applyFont="1" applyFill="1" applyBorder="1" applyAlignment="1">
      <alignment horizontal="center" vertical="top" wrapText="1"/>
    </xf>
    <xf numFmtId="178" fontId="7" fillId="0" borderId="49" xfId="0" applyNumberFormat="1" applyFont="1" applyFill="1" applyBorder="1">
      <alignment vertical="center"/>
    </xf>
    <xf numFmtId="41" fontId="7" fillId="0" borderId="50" xfId="33" applyFont="1" applyFill="1" applyBorder="1" applyAlignment="1">
      <alignment horizontal="center" vertical="center"/>
    </xf>
    <xf numFmtId="41" fontId="7" fillId="0" borderId="50" xfId="33" applyFont="1" applyFill="1" applyBorder="1" applyAlignment="1">
      <alignment horizontal="right" vertical="center"/>
    </xf>
    <xf numFmtId="0" fontId="2" fillId="0" borderId="56" xfId="0" applyFont="1" applyBorder="1" applyAlignment="1">
      <alignment vertical="center" shrinkToFit="1"/>
    </xf>
    <xf numFmtId="0" fontId="8" fillId="0" borderId="40" xfId="0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textRotation="255"/>
    </xf>
    <xf numFmtId="41" fontId="7" fillId="0" borderId="67" xfId="33" applyFont="1" applyFill="1" applyBorder="1" applyAlignment="1">
      <alignment horizontal="center" vertical="center"/>
    </xf>
    <xf numFmtId="41" fontId="7" fillId="0" borderId="68" xfId="33" applyFont="1" applyFill="1" applyBorder="1" applyAlignment="1">
      <alignment horizontal="center" vertical="center"/>
    </xf>
    <xf numFmtId="178" fontId="7" fillId="0" borderId="69" xfId="0" applyNumberFormat="1" applyFont="1" applyFill="1" applyBorder="1" applyAlignment="1">
      <alignment vertical="center"/>
    </xf>
    <xf numFmtId="179" fontId="30" fillId="28" borderId="46" xfId="0" quotePrefix="1" applyNumberFormat="1" applyFont="1" applyFill="1" applyBorder="1" applyAlignment="1">
      <alignment horizontal="center"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177" fontId="5" fillId="26" borderId="65" xfId="33" applyNumberFormat="1" applyFont="1" applyFill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6" fontId="4" fillId="0" borderId="70" xfId="29" applyNumberFormat="1" applyFont="1" applyBorder="1" applyAlignment="1">
      <alignment horizontal="center" vertical="center"/>
    </xf>
    <xf numFmtId="176" fontId="4" fillId="0" borderId="71" xfId="29" applyNumberFormat="1" applyFont="1" applyBorder="1" applyAlignment="1">
      <alignment horizontal="center" vertical="center"/>
    </xf>
    <xf numFmtId="41" fontId="7" fillId="33" borderId="56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0" fontId="2" fillId="33" borderId="56" xfId="0" applyFont="1" applyFill="1" applyBorder="1">
      <alignment vertical="center"/>
    </xf>
    <xf numFmtId="41" fontId="7" fillId="33" borderId="61" xfId="33" applyFont="1" applyFill="1" applyBorder="1">
      <alignment vertical="center"/>
    </xf>
    <xf numFmtId="41" fontId="7" fillId="33" borderId="56" xfId="33" applyFont="1" applyFill="1" applyBorder="1">
      <alignment vertical="center"/>
    </xf>
    <xf numFmtId="41" fontId="7" fillId="33" borderId="62" xfId="33" applyFont="1" applyFill="1" applyBorder="1">
      <alignment vertical="center"/>
    </xf>
    <xf numFmtId="41" fontId="7" fillId="33" borderId="60" xfId="33" applyFont="1" applyFill="1" applyBorder="1">
      <alignment vertical="center"/>
    </xf>
    <xf numFmtId="41" fontId="7" fillId="33" borderId="56" xfId="0" applyNumberFormat="1" applyFont="1" applyFill="1" applyBorder="1">
      <alignment vertical="center"/>
    </xf>
    <xf numFmtId="0" fontId="47" fillId="0" borderId="56" xfId="0" applyFont="1" applyBorder="1">
      <alignment vertical="center"/>
    </xf>
    <xf numFmtId="49" fontId="8" fillId="0" borderId="72" xfId="0" applyNumberFormat="1" applyFont="1" applyBorder="1" applyAlignment="1">
      <alignment horizontal="center" vertical="center" textRotation="255"/>
    </xf>
    <xf numFmtId="41" fontId="7" fillId="0" borderId="31" xfId="33" applyFont="1" applyFill="1" applyBorder="1" applyAlignment="1">
      <alignment horizontal="center" vertical="center"/>
    </xf>
    <xf numFmtId="41" fontId="7" fillId="0" borderId="73" xfId="33" applyFont="1" applyFill="1" applyBorder="1" applyAlignment="1">
      <alignment horizontal="center" vertical="center"/>
    </xf>
    <xf numFmtId="0" fontId="8" fillId="27" borderId="74" xfId="0" applyFont="1" applyFill="1" applyBorder="1" applyAlignment="1">
      <alignment horizontal="centerContinuous" vertical="center"/>
    </xf>
    <xf numFmtId="0" fontId="8" fillId="27" borderId="75" xfId="0" applyFont="1" applyFill="1" applyBorder="1" applyAlignment="1">
      <alignment horizontal="centerContinuous" vertical="center"/>
    </xf>
    <xf numFmtId="176" fontId="34" fillId="27" borderId="76" xfId="29" applyNumberFormat="1" applyFont="1" applyFill="1" applyBorder="1" applyAlignment="1">
      <alignment vertical="center"/>
    </xf>
    <xf numFmtId="176" fontId="34" fillId="27" borderId="77" xfId="29" applyNumberFormat="1" applyFont="1" applyFill="1" applyBorder="1" applyAlignment="1">
      <alignment vertical="center"/>
    </xf>
    <xf numFmtId="0" fontId="36" fillId="27" borderId="78" xfId="0" applyFont="1" applyFill="1" applyBorder="1" applyAlignment="1">
      <alignment horizontal="centerContinuous" vertical="center"/>
    </xf>
    <xf numFmtId="177" fontId="4" fillId="27" borderId="79" xfId="33" applyNumberFormat="1" applyFont="1" applyFill="1" applyBorder="1" applyAlignment="1">
      <alignment horizontal="center" vertical="center"/>
    </xf>
    <xf numFmtId="177" fontId="4" fillId="31" borderId="79" xfId="33" applyNumberFormat="1" applyFont="1" applyFill="1" applyBorder="1" applyAlignment="1">
      <alignment horizontal="center" vertical="center"/>
    </xf>
    <xf numFmtId="177" fontId="4" fillId="24" borderId="73" xfId="33" applyNumberFormat="1" applyFont="1" applyFill="1" applyBorder="1" applyAlignment="1">
      <alignment horizontal="center" vertical="center"/>
    </xf>
    <xf numFmtId="177" fontId="4" fillId="27" borderId="80" xfId="33" applyNumberFormat="1" applyFont="1" applyFill="1" applyBorder="1" applyAlignment="1">
      <alignment horizontal="center" vertical="center"/>
    </xf>
    <xf numFmtId="177" fontId="4" fillId="31" borderId="80" xfId="33" applyNumberFormat="1" applyFont="1" applyFill="1" applyBorder="1" applyAlignment="1">
      <alignment horizontal="center" vertical="center"/>
    </xf>
    <xf numFmtId="177" fontId="4" fillId="24" borderId="29" xfId="33" applyNumberFormat="1" applyFont="1" applyFill="1" applyBorder="1" applyAlignment="1">
      <alignment horizontal="center" vertical="center"/>
    </xf>
    <xf numFmtId="177" fontId="4" fillId="27" borderId="81" xfId="33" applyNumberFormat="1" applyFont="1" applyFill="1" applyBorder="1" applyAlignment="1">
      <alignment horizontal="center" vertical="center"/>
    </xf>
    <xf numFmtId="177" fontId="4" fillId="31" borderId="81" xfId="33" applyNumberFormat="1" applyFont="1" applyFill="1" applyBorder="1" applyAlignment="1">
      <alignment horizontal="center" vertical="center"/>
    </xf>
    <xf numFmtId="177" fontId="4" fillId="24" borderId="82" xfId="33" applyNumberFormat="1" applyFont="1" applyFill="1" applyBorder="1" applyAlignment="1">
      <alignment horizontal="center" vertical="center"/>
    </xf>
    <xf numFmtId="177" fontId="4" fillId="27" borderId="83" xfId="33" applyNumberFormat="1" applyFont="1" applyFill="1" applyBorder="1" applyAlignment="1">
      <alignment horizontal="center" vertical="center"/>
    </xf>
    <xf numFmtId="177" fontId="4" fillId="31" borderId="83" xfId="33" applyNumberFormat="1" applyFont="1" applyFill="1" applyBorder="1" applyAlignment="1">
      <alignment horizontal="center" vertical="center"/>
    </xf>
    <xf numFmtId="177" fontId="4" fillId="24" borderId="70" xfId="33" applyNumberFormat="1" applyFont="1" applyFill="1" applyBorder="1" applyAlignment="1">
      <alignment horizontal="center" vertical="center"/>
    </xf>
    <xf numFmtId="178" fontId="7" fillId="0" borderId="30" xfId="0" applyNumberFormat="1" applyFont="1" applyBorder="1" applyAlignment="1">
      <alignment horizontal="left" vertical="center"/>
    </xf>
    <xf numFmtId="178" fontId="7" fillId="0" borderId="49" xfId="0" applyNumberFormat="1" applyFont="1" applyBorder="1" applyAlignment="1">
      <alignment horizontal="left" vertical="center"/>
    </xf>
    <xf numFmtId="178" fontId="7" fillId="0" borderId="24" xfId="0" applyNumberFormat="1" applyFont="1" applyBorder="1" applyAlignment="1">
      <alignment horizontal="left" vertical="center"/>
    </xf>
    <xf numFmtId="178" fontId="7" fillId="0" borderId="47" xfId="0" applyNumberFormat="1" applyFont="1" applyBorder="1" applyAlignment="1">
      <alignment horizontal="left" vertical="center"/>
    </xf>
    <xf numFmtId="178" fontId="7" fillId="0" borderId="47" xfId="0" applyNumberFormat="1" applyFont="1" applyFill="1" applyBorder="1" applyAlignment="1">
      <alignment horizontal="left" vertical="center"/>
    </xf>
    <xf numFmtId="178" fontId="7" fillId="0" borderId="49" xfId="0" applyNumberFormat="1" applyFont="1" applyFill="1" applyBorder="1" applyAlignment="1">
      <alignment horizontal="left" vertical="center"/>
    </xf>
    <xf numFmtId="178" fontId="7" fillId="25" borderId="34" xfId="0" applyNumberFormat="1" applyFont="1" applyFill="1" applyBorder="1" applyAlignment="1">
      <alignment horizontal="left" vertical="center"/>
    </xf>
    <xf numFmtId="178" fontId="7" fillId="0" borderId="20" xfId="0" applyNumberFormat="1" applyFont="1" applyBorder="1" applyAlignment="1">
      <alignment horizontal="left" vertical="center"/>
    </xf>
    <xf numFmtId="178" fontId="7" fillId="25" borderId="28" xfId="0" applyNumberFormat="1" applyFont="1" applyFill="1" applyBorder="1" applyAlignment="1">
      <alignment horizontal="left" vertical="center"/>
    </xf>
    <xf numFmtId="178" fontId="7" fillId="0" borderId="30" xfId="0" applyNumberFormat="1" applyFont="1" applyFill="1" applyBorder="1" applyAlignment="1">
      <alignment horizontal="left" vertical="center"/>
    </xf>
    <xf numFmtId="178" fontId="7" fillId="0" borderId="84" xfId="0" applyNumberFormat="1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Continuous" vertical="center"/>
    </xf>
    <xf numFmtId="0" fontId="30" fillId="28" borderId="85" xfId="0" quotePrefix="1" applyFont="1" applyFill="1" applyBorder="1" applyAlignment="1">
      <alignment horizontal="center" vertical="center" wrapText="1"/>
    </xf>
    <xf numFmtId="0" fontId="29" fillId="28" borderId="86" xfId="0" quotePrefix="1" applyFont="1" applyFill="1" applyBorder="1" applyAlignment="1">
      <alignment horizontal="center" vertical="center" wrapText="1"/>
    </xf>
    <xf numFmtId="0" fontId="29" fillId="28" borderId="87" xfId="0" applyFont="1" applyFill="1" applyBorder="1" applyAlignment="1">
      <alignment horizontal="center" vertical="center" wrapText="1"/>
    </xf>
    <xf numFmtId="0" fontId="30" fillId="30" borderId="87" xfId="0" quotePrefix="1" applyFont="1" applyFill="1" applyBorder="1" applyAlignment="1">
      <alignment horizontal="center" vertical="center"/>
    </xf>
    <xf numFmtId="0" fontId="2" fillId="33" borderId="0" xfId="0" applyFont="1" applyFill="1">
      <alignment vertical="center"/>
    </xf>
    <xf numFmtId="0" fontId="2" fillId="33" borderId="0" xfId="0" applyFont="1" applyFill="1" applyBorder="1">
      <alignment vertical="center"/>
    </xf>
    <xf numFmtId="41" fontId="7" fillId="33" borderId="0" xfId="33" applyFont="1" applyFill="1" applyBorder="1" applyAlignment="1">
      <alignment horizontal="center" vertical="center"/>
    </xf>
    <xf numFmtId="41" fontId="2" fillId="33" borderId="0" xfId="33" applyFont="1" applyFill="1" applyBorder="1">
      <alignment vertical="center"/>
    </xf>
    <xf numFmtId="41" fontId="2" fillId="33" borderId="0" xfId="0" applyNumberFormat="1" applyFont="1" applyFill="1" applyBorder="1">
      <alignment vertical="center"/>
    </xf>
    <xf numFmtId="0" fontId="7" fillId="33" borderId="0" xfId="0" applyFont="1" applyFill="1">
      <alignment vertical="center"/>
    </xf>
    <xf numFmtId="0" fontId="0" fillId="33" borderId="0" xfId="0" applyFill="1">
      <alignment vertical="center"/>
    </xf>
    <xf numFmtId="41" fontId="7" fillId="0" borderId="88" xfId="33" applyFont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  <xf numFmtId="41" fontId="7" fillId="0" borderId="56" xfId="0" applyNumberFormat="1" applyFont="1" applyBorder="1">
      <alignment vertical="center"/>
    </xf>
    <xf numFmtId="41" fontId="7" fillId="0" borderId="60" xfId="33" applyFont="1" applyBorder="1">
      <alignment vertical="center"/>
    </xf>
    <xf numFmtId="41" fontId="7" fillId="0" borderId="56" xfId="33" applyFont="1" applyBorder="1">
      <alignment vertical="center"/>
    </xf>
    <xf numFmtId="0" fontId="2" fillId="0" borderId="0" xfId="0" applyFont="1" applyFill="1">
      <alignment vertical="center"/>
    </xf>
    <xf numFmtId="41" fontId="7" fillId="0" borderId="0" xfId="33" applyFont="1" applyFill="1" applyBorder="1" applyAlignment="1">
      <alignment horizontal="center" vertical="center"/>
    </xf>
    <xf numFmtId="41" fontId="2" fillId="0" borderId="0" xfId="33" applyFont="1" applyFill="1" applyBorder="1">
      <alignment vertical="center"/>
    </xf>
    <xf numFmtId="41" fontId="2" fillId="0" borderId="0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41" fontId="6" fillId="0" borderId="0" xfId="33" applyFont="1" applyFill="1">
      <alignment vertical="center"/>
    </xf>
    <xf numFmtId="0" fontId="42" fillId="0" borderId="0" xfId="0" applyFont="1" applyFill="1">
      <alignment vertical="center"/>
    </xf>
    <xf numFmtId="177" fontId="4" fillId="0" borderId="89" xfId="33" applyNumberFormat="1" applyFont="1" applyFill="1" applyBorder="1" applyAlignment="1">
      <alignment horizontal="center" vertical="center"/>
    </xf>
    <xf numFmtId="176" fontId="4" fillId="0" borderId="90" xfId="29" applyNumberFormat="1" applyFont="1" applyFill="1" applyBorder="1" applyAlignment="1">
      <alignment horizontal="center" vertical="center"/>
    </xf>
    <xf numFmtId="177" fontId="4" fillId="0" borderId="11" xfId="33" applyNumberFormat="1" applyFont="1" applyFill="1" applyBorder="1" applyAlignment="1">
      <alignment horizontal="center" vertical="center"/>
    </xf>
    <xf numFmtId="41" fontId="61" fillId="0" borderId="0" xfId="33" applyFont="1" applyFill="1" applyBorder="1" applyAlignment="1">
      <alignment vertical="center"/>
    </xf>
    <xf numFmtId="176" fontId="61" fillId="0" borderId="0" xfId="29" applyNumberFormat="1" applyFont="1" applyFill="1" applyBorder="1" applyAlignment="1">
      <alignment vertical="center"/>
    </xf>
    <xf numFmtId="176" fontId="34" fillId="29" borderId="57" xfId="29" applyNumberFormat="1" applyFont="1" applyFill="1" applyBorder="1" applyAlignment="1">
      <alignment vertical="center"/>
    </xf>
    <xf numFmtId="176" fontId="34" fillId="29" borderId="91" xfId="29" applyNumberFormat="1" applyFont="1" applyFill="1" applyBorder="1" applyAlignment="1">
      <alignment vertical="center"/>
    </xf>
    <xf numFmtId="176" fontId="34" fillId="0" borderId="91" xfId="29" applyNumberFormat="1" applyFont="1" applyFill="1" applyBorder="1" applyAlignment="1">
      <alignment vertical="center"/>
    </xf>
    <xf numFmtId="41" fontId="35" fillId="0" borderId="92" xfId="33" applyFont="1" applyBorder="1" applyAlignment="1">
      <alignment vertical="center"/>
    </xf>
    <xf numFmtId="176" fontId="34" fillId="29" borderId="53" xfId="29" applyNumberFormat="1" applyFont="1" applyFill="1" applyBorder="1" applyAlignment="1">
      <alignment vertical="center"/>
    </xf>
    <xf numFmtId="176" fontId="34" fillId="29" borderId="54" xfId="29" applyNumberFormat="1" applyFont="1" applyFill="1" applyBorder="1" applyAlignment="1">
      <alignment vertical="center"/>
    </xf>
    <xf numFmtId="176" fontId="34" fillId="0" borderId="54" xfId="29" applyNumberFormat="1" applyFont="1" applyFill="1" applyBorder="1" applyAlignment="1">
      <alignment vertical="center"/>
    </xf>
    <xf numFmtId="176" fontId="34" fillId="29" borderId="39" xfId="29" applyNumberFormat="1" applyFont="1" applyFill="1" applyBorder="1" applyAlignment="1">
      <alignment vertical="center"/>
    </xf>
    <xf numFmtId="176" fontId="34" fillId="29" borderId="94" xfId="29" applyNumberFormat="1" applyFont="1" applyFill="1" applyBorder="1" applyAlignment="1">
      <alignment vertical="center"/>
    </xf>
    <xf numFmtId="176" fontId="34" fillId="0" borderId="94" xfId="29" applyNumberFormat="1" applyFont="1" applyFill="1" applyBorder="1" applyAlignment="1">
      <alignment vertical="center"/>
    </xf>
    <xf numFmtId="176" fontId="34" fillId="29" borderId="41" xfId="29" applyNumberFormat="1" applyFont="1" applyFill="1" applyBorder="1" applyAlignment="1">
      <alignment vertical="center"/>
    </xf>
    <xf numFmtId="176" fontId="34" fillId="29" borderId="58" xfId="29" applyNumberFormat="1" applyFont="1" applyFill="1" applyBorder="1" applyAlignment="1">
      <alignment vertical="center"/>
    </xf>
    <xf numFmtId="176" fontId="34" fillId="29" borderId="96" xfId="29" applyNumberFormat="1" applyFont="1" applyFill="1" applyBorder="1" applyAlignment="1">
      <alignment vertical="center"/>
    </xf>
    <xf numFmtId="176" fontId="34" fillId="0" borderId="96" xfId="29" applyNumberFormat="1" applyFont="1" applyFill="1" applyBorder="1" applyAlignment="1">
      <alignment vertical="center"/>
    </xf>
    <xf numFmtId="176" fontId="34" fillId="29" borderId="98" xfId="29" applyNumberFormat="1" applyFont="1" applyFill="1" applyBorder="1" applyAlignment="1">
      <alignment vertical="center"/>
    </xf>
    <xf numFmtId="0" fontId="48" fillId="0" borderId="0" xfId="46" applyFont="1" applyAlignment="1">
      <alignment horizontal="left" vertical="top"/>
    </xf>
    <xf numFmtId="0" fontId="49" fillId="0" borderId="0" xfId="46" applyFont="1" applyAlignment="1">
      <alignment horizontal="left" vertical="top"/>
    </xf>
    <xf numFmtId="0" fontId="50" fillId="0" borderId="0" xfId="46" applyFont="1" applyAlignment="1">
      <alignment horizontal="center" vertical="center"/>
    </xf>
    <xf numFmtId="0" fontId="50" fillId="0" borderId="0" xfId="46" applyFont="1" applyAlignment="1">
      <alignment vertical="center"/>
    </xf>
    <xf numFmtId="0" fontId="52" fillId="34" borderId="99" xfId="0" quotePrefix="1" applyFont="1" applyFill="1" applyBorder="1" applyAlignment="1">
      <alignment horizontal="center" vertical="center" wrapText="1"/>
    </xf>
    <xf numFmtId="0" fontId="53" fillId="30" borderId="100" xfId="46" applyFont="1" applyFill="1" applyBorder="1" applyAlignment="1">
      <alignment horizontal="center" vertical="center"/>
    </xf>
    <xf numFmtId="179" fontId="52" fillId="34" borderId="46" xfId="0" quotePrefix="1" applyNumberFormat="1" applyFont="1" applyFill="1" applyBorder="1" applyAlignment="1">
      <alignment horizontal="center" vertical="center"/>
    </xf>
    <xf numFmtId="0" fontId="53" fillId="30" borderId="101" xfId="46" applyFont="1" applyFill="1" applyBorder="1" applyAlignment="1">
      <alignment horizontal="center" vertical="center" wrapText="1"/>
    </xf>
    <xf numFmtId="0" fontId="53" fillId="30" borderId="54" xfId="46" applyFont="1" applyFill="1" applyBorder="1" applyAlignment="1">
      <alignment horizontal="center" vertical="center" wrapText="1"/>
    </xf>
    <xf numFmtId="176" fontId="34" fillId="27" borderId="39" xfId="29" applyNumberFormat="1" applyFont="1" applyFill="1" applyBorder="1" applyAlignment="1">
      <alignment vertical="center"/>
    </xf>
    <xf numFmtId="176" fontId="34" fillId="27" borderId="94" xfId="29" applyNumberFormat="1" applyFont="1" applyFill="1" applyBorder="1" applyAlignment="1">
      <alignment vertical="center"/>
    </xf>
    <xf numFmtId="176" fontId="34" fillId="27" borderId="103" xfId="29" applyNumberFormat="1" applyFont="1" applyFill="1" applyBorder="1" applyAlignment="1">
      <alignment vertical="center"/>
    </xf>
    <xf numFmtId="41" fontId="54" fillId="27" borderId="50" xfId="33" applyFont="1" applyFill="1" applyBorder="1" applyAlignment="1">
      <alignment vertical="center"/>
    </xf>
    <xf numFmtId="0" fontId="33" fillId="35" borderId="72" xfId="46" applyFont="1" applyFill="1" applyBorder="1" applyAlignment="1">
      <alignment vertical="center" wrapText="1"/>
    </xf>
    <xf numFmtId="176" fontId="34" fillId="0" borderId="56" xfId="29" applyNumberFormat="1" applyFont="1" applyFill="1" applyBorder="1" applyAlignment="1">
      <alignment vertical="center"/>
    </xf>
    <xf numFmtId="176" fontId="34" fillId="0" borderId="104" xfId="29" applyNumberFormat="1" applyFont="1" applyFill="1" applyBorder="1" applyAlignment="1">
      <alignment vertical="center"/>
    </xf>
    <xf numFmtId="41" fontId="57" fillId="0" borderId="105" xfId="33" applyFont="1" applyFill="1" applyBorder="1" applyAlignment="1">
      <alignment vertical="center"/>
    </xf>
    <xf numFmtId="176" fontId="34" fillId="0" borderId="104" xfId="29" applyNumberFormat="1" applyFont="1" applyBorder="1" applyAlignment="1">
      <alignment vertical="center"/>
    </xf>
    <xf numFmtId="0" fontId="33" fillId="35" borderId="106" xfId="46" applyFont="1" applyFill="1" applyBorder="1" applyAlignment="1">
      <alignment vertical="center" wrapText="1"/>
    </xf>
    <xf numFmtId="41" fontId="57" fillId="0" borderId="107" xfId="33" applyFont="1" applyFill="1" applyBorder="1" applyAlignment="1">
      <alignment vertical="center"/>
    </xf>
    <xf numFmtId="0" fontId="33" fillId="35" borderId="45" xfId="46" applyFont="1" applyFill="1" applyBorder="1" applyAlignment="1">
      <alignment vertical="center" wrapText="1"/>
    </xf>
    <xf numFmtId="41" fontId="56" fillId="0" borderId="25" xfId="0" applyNumberFormat="1" applyFont="1" applyFill="1" applyBorder="1" applyAlignment="1">
      <alignment vertical="center"/>
    </xf>
    <xf numFmtId="41" fontId="59" fillId="0" borderId="108" xfId="33" applyFont="1" applyBorder="1" applyAlignment="1">
      <alignment vertical="center"/>
    </xf>
    <xf numFmtId="41" fontId="59" fillId="0" borderId="108" xfId="33" quotePrefix="1" applyFont="1" applyBorder="1" applyAlignment="1">
      <alignment horizontal="center" vertical="center"/>
    </xf>
    <xf numFmtId="41" fontId="59" fillId="0" borderId="109" xfId="33" applyFont="1" applyBorder="1" applyAlignment="1">
      <alignment horizontal="right" vertical="center"/>
    </xf>
    <xf numFmtId="41" fontId="59" fillId="27" borderId="111" xfId="33" applyFont="1" applyFill="1" applyBorder="1" applyAlignment="1">
      <alignment vertical="center"/>
    </xf>
    <xf numFmtId="41" fontId="59" fillId="0" borderId="0" xfId="33" applyFont="1" applyFill="1" applyBorder="1" applyAlignment="1">
      <alignment vertical="center"/>
    </xf>
    <xf numFmtId="177" fontId="5" fillId="32" borderId="112" xfId="33" applyNumberFormat="1" applyFont="1" applyFill="1" applyBorder="1" applyAlignment="1">
      <alignment horizontal="center" vertical="center"/>
    </xf>
    <xf numFmtId="176" fontId="34" fillId="29" borderId="42" xfId="2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7" fontId="4" fillId="33" borderId="0" xfId="33" applyNumberFormat="1" applyFont="1" applyFill="1" applyBorder="1" applyAlignment="1">
      <alignment horizontal="center" vertical="center"/>
    </xf>
    <xf numFmtId="0" fontId="4" fillId="33" borderId="0" xfId="0" applyFont="1" applyFill="1">
      <alignment vertical="center"/>
    </xf>
    <xf numFmtId="0" fontId="4" fillId="33" borderId="0" xfId="0" applyFont="1" applyFill="1" applyAlignment="1">
      <alignment horizontal="center" vertical="center"/>
    </xf>
    <xf numFmtId="177" fontId="5" fillId="32" borderId="65" xfId="33" applyNumberFormat="1" applyFont="1" applyFill="1" applyBorder="1" applyAlignment="1">
      <alignment horizontal="center" vertical="center"/>
    </xf>
    <xf numFmtId="41" fontId="59" fillId="27" borderId="46" xfId="33" applyFont="1" applyFill="1" applyBorder="1" applyAlignment="1">
      <alignment vertical="center"/>
    </xf>
    <xf numFmtId="176" fontId="34" fillId="27" borderId="113" xfId="29" applyNumberFormat="1" applyFont="1" applyFill="1" applyBorder="1" applyAlignment="1">
      <alignment vertical="center"/>
    </xf>
    <xf numFmtId="176" fontId="34" fillId="27" borderId="114" xfId="29" applyNumberFormat="1" applyFont="1" applyFill="1" applyBorder="1" applyAlignment="1">
      <alignment vertical="center"/>
    </xf>
    <xf numFmtId="0" fontId="62" fillId="27" borderId="38" xfId="0" applyFont="1" applyFill="1" applyBorder="1" applyAlignment="1">
      <alignment horizontal="centerContinuous" vertical="center"/>
    </xf>
    <xf numFmtId="183" fontId="5" fillId="32" borderId="64" xfId="0" applyNumberFormat="1" applyFont="1" applyFill="1" applyBorder="1" applyAlignment="1">
      <alignment horizontal="center" wrapText="1"/>
    </xf>
    <xf numFmtId="180" fontId="5" fillId="32" borderId="115" xfId="0" applyNumberFormat="1" applyFont="1" applyFill="1" applyBorder="1" applyAlignment="1">
      <alignment horizontal="center" vertical="top"/>
    </xf>
    <xf numFmtId="176" fontId="34" fillId="0" borderId="116" xfId="29" applyNumberFormat="1" applyFont="1" applyFill="1" applyBorder="1" applyAlignment="1">
      <alignment vertical="center"/>
    </xf>
    <xf numFmtId="41" fontId="2" fillId="25" borderId="55" xfId="33" applyFont="1" applyFill="1" applyBorder="1">
      <alignment vertical="center"/>
    </xf>
    <xf numFmtId="41" fontId="7" fillId="0" borderId="42" xfId="33" applyFont="1" applyBorder="1" applyAlignment="1">
      <alignment horizontal="center" vertical="center"/>
    </xf>
    <xf numFmtId="41" fontId="7" fillId="0" borderId="58" xfId="33" applyFont="1" applyBorder="1" applyAlignment="1">
      <alignment horizontal="center" vertical="center"/>
    </xf>
    <xf numFmtId="41" fontId="7" fillId="0" borderId="117" xfId="33" applyFont="1" applyBorder="1" applyAlignment="1">
      <alignment horizontal="center" vertical="center"/>
    </xf>
    <xf numFmtId="41" fontId="7" fillId="0" borderId="118" xfId="33" applyFont="1" applyBorder="1" applyAlignment="1">
      <alignment horizontal="center" vertical="center"/>
    </xf>
    <xf numFmtId="41" fontId="2" fillId="33" borderId="56" xfId="33" applyFont="1" applyFill="1" applyBorder="1">
      <alignment vertical="center"/>
    </xf>
    <xf numFmtId="41" fontId="2" fillId="33" borderId="56" xfId="0" applyNumberFormat="1" applyFont="1" applyFill="1" applyBorder="1">
      <alignment vertical="center"/>
    </xf>
    <xf numFmtId="41" fontId="54" fillId="0" borderId="0" xfId="33" applyFont="1">
      <alignment vertical="center"/>
    </xf>
    <xf numFmtId="41" fontId="54" fillId="27" borderId="95" xfId="33" applyFont="1" applyFill="1" applyBorder="1">
      <alignment vertical="center"/>
    </xf>
    <xf numFmtId="176" fontId="34" fillId="0" borderId="55" xfId="29" applyNumberFormat="1" applyFont="1" applyFill="1" applyBorder="1" applyAlignment="1">
      <alignment vertical="center"/>
    </xf>
    <xf numFmtId="176" fontId="34" fillId="0" borderId="116" xfId="29" applyNumberFormat="1" applyFont="1" applyBorder="1" applyAlignment="1">
      <alignment vertical="center"/>
    </xf>
    <xf numFmtId="41" fontId="0" fillId="0" borderId="0" xfId="0" applyNumberFormat="1">
      <alignment vertical="center"/>
    </xf>
    <xf numFmtId="177" fontId="4" fillId="32" borderId="112" xfId="33" applyNumberFormat="1" applyFont="1" applyFill="1" applyBorder="1" applyAlignment="1">
      <alignment horizontal="center" vertical="center"/>
    </xf>
    <xf numFmtId="177" fontId="4" fillId="26" borderId="65" xfId="33" applyNumberFormat="1" applyFont="1" applyFill="1" applyBorder="1" applyAlignment="1">
      <alignment horizontal="center" vertical="center"/>
    </xf>
    <xf numFmtId="176" fontId="4" fillId="0" borderId="73" xfId="29" applyNumberFormat="1" applyFont="1" applyBorder="1" applyAlignment="1">
      <alignment horizontal="center" vertical="center"/>
    </xf>
    <xf numFmtId="176" fontId="4" fillId="0" borderId="119" xfId="29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4" fillId="32" borderId="120" xfId="33" applyNumberFormat="1" applyFont="1" applyFill="1" applyBorder="1" applyAlignment="1">
      <alignment horizontal="center" vertical="center"/>
    </xf>
    <xf numFmtId="176" fontId="4" fillId="0" borderId="121" xfId="29" applyNumberFormat="1" applyFont="1" applyFill="1" applyBorder="1" applyAlignment="1">
      <alignment horizontal="center" vertical="center"/>
    </xf>
    <xf numFmtId="183" fontId="4" fillId="32" borderId="64" xfId="0" applyNumberFormat="1" applyFont="1" applyFill="1" applyBorder="1" applyAlignment="1">
      <alignment horizontal="center"/>
    </xf>
    <xf numFmtId="179" fontId="4" fillId="32" borderId="65" xfId="0" applyNumberFormat="1" applyFont="1" applyFill="1" applyBorder="1" applyAlignment="1">
      <alignment horizontal="center" vertical="top"/>
    </xf>
    <xf numFmtId="41" fontId="35" fillId="0" borderId="108" xfId="33" quotePrefix="1" applyFont="1" applyBorder="1" applyAlignment="1">
      <alignment horizontal="center" vertical="center"/>
    </xf>
    <xf numFmtId="41" fontId="35" fillId="0" borderId="109" xfId="33" applyFont="1" applyBorder="1" applyAlignment="1">
      <alignment horizontal="right" vertical="center"/>
    </xf>
    <xf numFmtId="41" fontId="35" fillId="27" borderId="46" xfId="33" applyFont="1" applyFill="1" applyBorder="1">
      <alignment vertical="center"/>
    </xf>
    <xf numFmtId="41" fontId="35" fillId="0" borderId="0" xfId="33" applyFont="1">
      <alignment vertical="center"/>
    </xf>
    <xf numFmtId="176" fontId="34" fillId="33" borderId="104" xfId="29" applyNumberFormat="1" applyFont="1" applyFill="1" applyBorder="1" applyAlignment="1">
      <alignment vertical="center"/>
    </xf>
    <xf numFmtId="177" fontId="5" fillId="33" borderId="0" xfId="33" applyNumberFormat="1" applyFont="1" applyFill="1" applyBorder="1" applyAlignment="1">
      <alignment horizontal="center" vertical="center"/>
    </xf>
    <xf numFmtId="176" fontId="4" fillId="33" borderId="0" xfId="29" applyNumberFormat="1" applyFont="1" applyFill="1" applyBorder="1" applyAlignment="1">
      <alignment horizontal="center" vertical="center"/>
    </xf>
    <xf numFmtId="41" fontId="7" fillId="25" borderId="122" xfId="33" applyFont="1" applyFill="1" applyBorder="1" applyAlignment="1">
      <alignment horizontal="center" vertical="center"/>
    </xf>
    <xf numFmtId="41" fontId="7" fillId="26" borderId="119" xfId="33" applyFont="1" applyFill="1" applyBorder="1" applyAlignment="1">
      <alignment horizontal="center" vertical="center"/>
    </xf>
    <xf numFmtId="176" fontId="34" fillId="0" borderId="101" xfId="29" applyNumberFormat="1" applyFont="1" applyFill="1" applyBorder="1" applyAlignment="1">
      <alignment vertical="center"/>
    </xf>
    <xf numFmtId="176" fontId="54" fillId="0" borderId="75" xfId="29" applyNumberFormat="1" applyFont="1" applyFill="1" applyBorder="1" applyAlignment="1">
      <alignment vertical="center"/>
    </xf>
    <xf numFmtId="176" fontId="34" fillId="27" borderId="123" xfId="29" applyNumberFormat="1" applyFont="1" applyFill="1" applyBorder="1" applyAlignment="1">
      <alignment vertical="center"/>
    </xf>
    <xf numFmtId="176" fontId="34" fillId="0" borderId="54" xfId="29" applyNumberFormat="1" applyFont="1" applyBorder="1" applyAlignment="1">
      <alignment vertical="center"/>
    </xf>
    <xf numFmtId="176" fontId="34" fillId="0" borderId="53" xfId="29" applyNumberFormat="1" applyFont="1" applyFill="1" applyBorder="1" applyAlignment="1">
      <alignment vertical="center"/>
    </xf>
    <xf numFmtId="0" fontId="52" fillId="34" borderId="86" xfId="0" applyFont="1" applyFill="1" applyBorder="1" applyAlignment="1">
      <alignment horizontal="center" vertical="center" wrapText="1"/>
    </xf>
    <xf numFmtId="179" fontId="52" fillId="34" borderId="38" xfId="0" applyNumberFormat="1" applyFont="1" applyFill="1" applyBorder="1" applyAlignment="1">
      <alignment horizontal="center" vertical="center"/>
    </xf>
    <xf numFmtId="0" fontId="52" fillId="34" borderId="124" xfId="0" quotePrefix="1" applyFont="1" applyFill="1" applyBorder="1" applyAlignment="1">
      <alignment horizontal="center" vertical="center" wrapText="1"/>
    </xf>
    <xf numFmtId="179" fontId="52" fillId="34" borderId="125" xfId="0" quotePrefix="1" applyNumberFormat="1" applyFont="1" applyFill="1" applyBorder="1" applyAlignment="1">
      <alignment horizontal="center" vertical="center"/>
    </xf>
    <xf numFmtId="179" fontId="29" fillId="28" borderId="125" xfId="0" applyNumberFormat="1" applyFont="1" applyFill="1" applyBorder="1" applyAlignment="1">
      <alignment horizontal="center" vertical="center"/>
    </xf>
    <xf numFmtId="179" fontId="29" fillId="28" borderId="125" xfId="0" quotePrefix="1" applyNumberFormat="1" applyFont="1" applyFill="1" applyBorder="1" applyAlignment="1">
      <alignment horizontal="center" vertical="center"/>
    </xf>
    <xf numFmtId="0" fontId="29" fillId="28" borderId="124" xfId="0" applyFont="1" applyFill="1" applyBorder="1" applyAlignment="1">
      <alignment horizontal="center" vertical="center" wrapText="1"/>
    </xf>
    <xf numFmtId="0" fontId="29" fillId="28" borderId="124" xfId="0" quotePrefix="1" applyFont="1" applyFill="1" applyBorder="1" applyAlignment="1">
      <alignment horizontal="center" vertical="center" wrapText="1"/>
    </xf>
    <xf numFmtId="176" fontId="34" fillId="29" borderId="0" xfId="29" applyNumberFormat="1" applyFont="1" applyFill="1" applyBorder="1" applyAlignment="1">
      <alignment vertical="center"/>
    </xf>
    <xf numFmtId="41" fontId="59" fillId="27" borderId="126" xfId="33" applyFont="1" applyFill="1" applyBorder="1" applyAlignment="1">
      <alignment vertical="center"/>
    </xf>
    <xf numFmtId="176" fontId="34" fillId="27" borderId="127" xfId="29" applyNumberFormat="1" applyFont="1" applyFill="1" applyBorder="1" applyAlignment="1">
      <alignment vertical="center"/>
    </xf>
    <xf numFmtId="176" fontId="34" fillId="27" borderId="121" xfId="29" applyNumberFormat="1" applyFont="1" applyFill="1" applyBorder="1" applyAlignment="1">
      <alignment vertical="center"/>
    </xf>
    <xf numFmtId="41" fontId="54" fillId="27" borderId="128" xfId="33" applyFont="1" applyFill="1" applyBorder="1">
      <alignment vertical="center"/>
    </xf>
    <xf numFmtId="41" fontId="57" fillId="0" borderId="129" xfId="33" applyFont="1" applyBorder="1">
      <alignment vertical="center"/>
    </xf>
    <xf numFmtId="41" fontId="54" fillId="27" borderId="130" xfId="33" applyFont="1" applyFill="1" applyBorder="1">
      <alignment vertical="center"/>
    </xf>
    <xf numFmtId="41" fontId="57" fillId="0" borderId="131" xfId="33" applyFont="1" applyBorder="1">
      <alignment vertical="center"/>
    </xf>
    <xf numFmtId="41" fontId="57" fillId="0" borderId="132" xfId="33" applyFont="1" applyBorder="1">
      <alignment vertical="center"/>
    </xf>
    <xf numFmtId="41" fontId="54" fillId="27" borderId="133" xfId="33" applyFont="1" applyFill="1" applyBorder="1">
      <alignment vertical="center"/>
    </xf>
    <xf numFmtId="41" fontId="57" fillId="0" borderId="134" xfId="33" applyFont="1" applyBorder="1">
      <alignment vertical="center"/>
    </xf>
    <xf numFmtId="41" fontId="35" fillId="0" borderId="108" xfId="33" applyFont="1" applyBorder="1" applyAlignment="1">
      <alignment vertical="center"/>
    </xf>
    <xf numFmtId="41" fontId="61" fillId="0" borderId="86" xfId="33" applyFont="1" applyFill="1" applyBorder="1" applyAlignment="1">
      <alignment vertical="center"/>
    </xf>
    <xf numFmtId="41" fontId="59" fillId="0" borderId="75" xfId="33" applyFont="1" applyFill="1" applyBorder="1" applyAlignment="1">
      <alignment vertical="center"/>
    </xf>
    <xf numFmtId="176" fontId="34" fillId="0" borderId="75" xfId="29" applyNumberFormat="1" applyFont="1" applyBorder="1" applyAlignment="1">
      <alignment vertical="center"/>
    </xf>
    <xf numFmtId="41" fontId="35" fillId="0" borderId="92" xfId="33" applyFont="1" applyBorder="1">
      <alignment vertical="center"/>
    </xf>
    <xf numFmtId="41" fontId="35" fillId="0" borderId="136" xfId="33" applyFont="1" applyBorder="1">
      <alignment vertical="center"/>
    </xf>
    <xf numFmtId="41" fontId="35" fillId="0" borderId="95" xfId="33" applyFont="1" applyBorder="1">
      <alignment vertical="center"/>
    </xf>
    <xf numFmtId="41" fontId="35" fillId="0" borderId="108" xfId="33" applyFont="1" applyBorder="1">
      <alignment vertical="center"/>
    </xf>
    <xf numFmtId="41" fontId="35" fillId="0" borderId="85" xfId="33" applyFont="1" applyBorder="1">
      <alignment vertical="center"/>
    </xf>
    <xf numFmtId="41" fontId="35" fillId="0" borderId="110" xfId="33" applyFont="1" applyBorder="1">
      <alignment vertical="center"/>
    </xf>
    <xf numFmtId="41" fontId="35" fillId="0" borderId="46" xfId="33" applyFont="1" applyBorder="1">
      <alignment vertical="center"/>
    </xf>
    <xf numFmtId="41" fontId="35" fillId="27" borderId="111" xfId="33" applyFont="1" applyFill="1" applyBorder="1">
      <alignment vertical="center"/>
    </xf>
    <xf numFmtId="41" fontId="35" fillId="0" borderId="92" xfId="33" quotePrefix="1" applyFont="1" applyBorder="1" applyAlignment="1">
      <alignment horizontal="center" vertical="center"/>
    </xf>
    <xf numFmtId="41" fontId="35" fillId="0" borderId="93" xfId="33" applyFont="1" applyBorder="1">
      <alignment vertical="center"/>
    </xf>
    <xf numFmtId="41" fontId="35" fillId="0" borderId="97" xfId="33" applyFont="1" applyBorder="1">
      <alignment vertical="center"/>
    </xf>
    <xf numFmtId="41" fontId="35" fillId="27" borderId="111" xfId="33" applyFont="1" applyFill="1" applyBorder="1" applyAlignment="1">
      <alignment vertical="center"/>
    </xf>
    <xf numFmtId="41" fontId="54" fillId="27" borderId="102" xfId="33" applyFont="1" applyFill="1" applyBorder="1">
      <alignment vertical="center"/>
    </xf>
    <xf numFmtId="41" fontId="57" fillId="0" borderId="105" xfId="33" applyFont="1" applyBorder="1">
      <alignment vertical="center"/>
    </xf>
    <xf numFmtId="41" fontId="57" fillId="0" borderId="154" xfId="33" applyFont="1" applyBorder="1">
      <alignment vertical="center"/>
    </xf>
    <xf numFmtId="41" fontId="57" fillId="0" borderId="93" xfId="33" applyFont="1" applyBorder="1">
      <alignment vertical="center"/>
    </xf>
    <xf numFmtId="41" fontId="35" fillId="27" borderId="80" xfId="33" applyFont="1" applyFill="1" applyBorder="1">
      <alignment vertical="center"/>
    </xf>
    <xf numFmtId="41" fontId="56" fillId="0" borderId="120" xfId="0" applyNumberFormat="1" applyFont="1" applyBorder="1">
      <alignment vertical="center"/>
    </xf>
    <xf numFmtId="176" fontId="34" fillId="0" borderId="121" xfId="29" applyNumberFormat="1" applyFont="1" applyBorder="1" applyAlignment="1">
      <alignment vertical="center"/>
    </xf>
    <xf numFmtId="176" fontId="34" fillId="0" borderId="127" xfId="29" applyNumberFormat="1" applyFont="1" applyFill="1" applyBorder="1" applyAlignment="1">
      <alignment vertical="center"/>
    </xf>
    <xf numFmtId="176" fontId="61" fillId="0" borderId="151" xfId="29" applyNumberFormat="1" applyFont="1" applyFill="1" applyBorder="1" applyAlignment="1">
      <alignment vertical="center"/>
    </xf>
    <xf numFmtId="41" fontId="7" fillId="0" borderId="0" xfId="0" applyNumberFormat="1" applyFont="1">
      <alignment vertical="center"/>
    </xf>
    <xf numFmtId="41" fontId="7" fillId="0" borderId="50" xfId="33" applyFont="1" applyBorder="1" applyAlignment="1">
      <alignment horizontal="right" vertical="center"/>
    </xf>
    <xf numFmtId="41" fontId="2" fillId="0" borderId="0" xfId="0" applyNumberFormat="1" applyFont="1">
      <alignment vertical="center"/>
    </xf>
    <xf numFmtId="41" fontId="7" fillId="0" borderId="155" xfId="33" applyFont="1" applyBorder="1" applyAlignment="1">
      <alignment horizontal="center" vertical="center"/>
    </xf>
    <xf numFmtId="41" fontId="7" fillId="0" borderId="0" xfId="33" applyFont="1" applyAlignment="1">
      <alignment horizontal="center" vertical="center"/>
    </xf>
    <xf numFmtId="41" fontId="7" fillId="0" borderId="40" xfId="33" applyFont="1" applyBorder="1" applyAlignment="1">
      <alignment horizontal="center" vertical="center"/>
    </xf>
    <xf numFmtId="41" fontId="59" fillId="0" borderId="108" xfId="33" applyFont="1" applyBorder="1">
      <alignment vertical="center"/>
    </xf>
    <xf numFmtId="41" fontId="59" fillId="0" borderId="85" xfId="33" applyFont="1" applyBorder="1">
      <alignment vertical="center"/>
    </xf>
    <xf numFmtId="41" fontId="59" fillId="0" borderId="110" xfId="33" applyFont="1" applyBorder="1">
      <alignment vertical="center"/>
    </xf>
    <xf numFmtId="41" fontId="59" fillId="0" borderId="46" xfId="33" applyFont="1" applyBorder="1">
      <alignment vertical="center"/>
    </xf>
    <xf numFmtId="41" fontId="35" fillId="27" borderId="46" xfId="33" applyFont="1" applyFill="1" applyBorder="1" applyAlignment="1">
      <alignment vertical="center"/>
    </xf>
    <xf numFmtId="41" fontId="35" fillId="27" borderId="126" xfId="33" applyFont="1" applyFill="1" applyBorder="1" applyAlignment="1">
      <alignment vertical="center"/>
    </xf>
    <xf numFmtId="41" fontId="59" fillId="0" borderId="109" xfId="33" applyFont="1" applyBorder="1">
      <alignment vertical="center"/>
    </xf>
    <xf numFmtId="41" fontId="59" fillId="27" borderId="156" xfId="33" applyFont="1" applyFill="1" applyBorder="1">
      <alignment vertical="center"/>
    </xf>
    <xf numFmtId="41" fontId="35" fillId="27" borderId="157" xfId="33" applyFont="1" applyFill="1" applyBorder="1">
      <alignment vertical="center"/>
    </xf>
    <xf numFmtId="41" fontId="28" fillId="0" borderId="40" xfId="0" applyNumberFormat="1" applyFont="1" applyBorder="1" applyAlignment="1">
      <alignment vertical="center"/>
    </xf>
    <xf numFmtId="41" fontId="35" fillId="27" borderId="157" xfId="33" applyFont="1" applyFill="1" applyBorder="1" applyAlignment="1">
      <alignment vertical="center"/>
    </xf>
    <xf numFmtId="41" fontId="54" fillId="27" borderId="149" xfId="33" applyFont="1" applyFill="1" applyBorder="1">
      <alignment vertical="center"/>
    </xf>
    <xf numFmtId="41" fontId="54" fillId="27" borderId="50" xfId="33" applyFont="1" applyFill="1" applyBorder="1">
      <alignment vertical="center"/>
    </xf>
    <xf numFmtId="41" fontId="57" fillId="0" borderId="107" xfId="33" applyFont="1" applyBorder="1">
      <alignment vertical="center"/>
    </xf>
    <xf numFmtId="41" fontId="56" fillId="0" borderId="25" xfId="0" applyNumberFormat="1" applyFont="1" applyBorder="1">
      <alignment vertical="center"/>
    </xf>
    <xf numFmtId="41" fontId="57" fillId="0" borderId="158" xfId="33" applyFont="1" applyBorder="1">
      <alignment vertical="center"/>
    </xf>
    <xf numFmtId="41" fontId="34" fillId="0" borderId="0" xfId="33" applyFont="1" applyFill="1" applyBorder="1" applyAlignment="1">
      <alignment vertical="center"/>
    </xf>
    <xf numFmtId="41" fontId="34" fillId="0" borderId="75" xfId="33" applyFont="1" applyFill="1" applyBorder="1" applyAlignment="1">
      <alignment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49" fontId="4" fillId="0" borderId="99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139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left" vertical="center"/>
    </xf>
    <xf numFmtId="49" fontId="4" fillId="0" borderId="140" xfId="0" applyNumberFormat="1" applyFont="1" applyBorder="1" applyAlignment="1">
      <alignment horizontal="center" vertical="center" wrapText="1"/>
    </xf>
    <xf numFmtId="49" fontId="4" fillId="0" borderId="119" xfId="0" applyNumberFormat="1" applyFont="1" applyBorder="1" applyAlignment="1">
      <alignment horizontal="center" vertical="center" wrapText="1"/>
    </xf>
    <xf numFmtId="49" fontId="4" fillId="0" borderId="141" xfId="0" applyNumberFormat="1" applyFont="1" applyBorder="1" applyAlignment="1">
      <alignment horizontal="center" vertical="center" wrapText="1"/>
    </xf>
    <xf numFmtId="49" fontId="4" fillId="0" borderId="142" xfId="0" applyNumberFormat="1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55" fillId="0" borderId="61" xfId="46" applyFont="1" applyFill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55" fillId="0" borderId="56" xfId="46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quotePrefix="1" applyFont="1" applyAlignment="1">
      <alignment vertical="center"/>
    </xf>
    <xf numFmtId="0" fontId="29" fillId="28" borderId="44" xfId="0" applyFont="1" applyFill="1" applyBorder="1" applyAlignment="1">
      <alignment horizontal="center" vertical="center"/>
    </xf>
    <xf numFmtId="0" fontId="29" fillId="28" borderId="86" xfId="0" applyFont="1" applyFill="1" applyBorder="1" applyAlignment="1">
      <alignment horizontal="center" vertical="center"/>
    </xf>
    <xf numFmtId="0" fontId="29" fillId="28" borderId="45" xfId="0" applyFont="1" applyFill="1" applyBorder="1" applyAlignment="1">
      <alignment horizontal="center" vertical="center"/>
    </xf>
    <xf numFmtId="0" fontId="29" fillId="28" borderId="38" xfId="0" applyFont="1" applyFill="1" applyBorder="1" applyAlignment="1">
      <alignment horizontal="center" vertical="center"/>
    </xf>
    <xf numFmtId="0" fontId="30" fillId="30" borderId="85" xfId="0" quotePrefix="1" applyFont="1" applyFill="1" applyBorder="1" applyAlignment="1">
      <alignment horizontal="center" vertical="center" wrapText="1"/>
    </xf>
    <xf numFmtId="0" fontId="30" fillId="30" borderId="46" xfId="0" applyFont="1" applyFill="1" applyBorder="1" applyAlignment="1">
      <alignment horizontal="center" vertical="center" wrapText="1"/>
    </xf>
    <xf numFmtId="0" fontId="29" fillId="28" borderId="50" xfId="0" quotePrefix="1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144" xfId="0" applyFont="1" applyBorder="1" applyAlignment="1">
      <alignment horizontal="center" vertical="center"/>
    </xf>
    <xf numFmtId="0" fontId="8" fillId="0" borderId="40" xfId="0" quotePrefix="1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/>
    </xf>
    <xf numFmtId="0" fontId="6" fillId="27" borderId="44" xfId="46" applyFont="1" applyFill="1" applyBorder="1" applyAlignment="1">
      <alignment horizontal="center" vertical="center"/>
    </xf>
    <xf numFmtId="0" fontId="6" fillId="27" borderId="86" xfId="46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75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6" fillId="27" borderId="87" xfId="46" applyFont="1" applyFill="1" applyBorder="1" applyAlignment="1">
      <alignment horizontal="center" vertical="center"/>
    </xf>
    <xf numFmtId="0" fontId="55" fillId="0" borderId="53" xfId="46" applyFont="1" applyFill="1" applyBorder="1" applyAlignment="1">
      <alignment horizontal="center" vertical="center"/>
    </xf>
    <xf numFmtId="0" fontId="55" fillId="0" borderId="135" xfId="46" applyFont="1" applyFill="1" applyBorder="1" applyAlignment="1">
      <alignment horizontal="center" vertical="center"/>
    </xf>
    <xf numFmtId="0" fontId="55" fillId="0" borderId="101" xfId="46" applyFont="1" applyFill="1" applyBorder="1" applyAlignment="1">
      <alignment horizontal="center" vertical="center"/>
    </xf>
    <xf numFmtId="0" fontId="51" fillId="30" borderId="50" xfId="46" quotePrefix="1" applyFont="1" applyFill="1" applyBorder="1" applyAlignment="1">
      <alignment horizontal="center" vertical="center" wrapText="1"/>
    </xf>
    <xf numFmtId="0" fontId="51" fillId="30" borderId="21" xfId="46" quotePrefix="1" applyFont="1" applyFill="1" applyBorder="1" applyAlignment="1">
      <alignment horizontal="center" vertical="center"/>
    </xf>
    <xf numFmtId="0" fontId="51" fillId="30" borderId="44" xfId="46" applyFont="1" applyFill="1" applyBorder="1" applyAlignment="1">
      <alignment horizontal="center" vertical="center"/>
    </xf>
    <xf numFmtId="0" fontId="51" fillId="30" borderId="86" xfId="46" applyFont="1" applyFill="1" applyBorder="1" applyAlignment="1">
      <alignment horizontal="center" vertical="center"/>
    </xf>
    <xf numFmtId="0" fontId="51" fillId="30" borderId="40" xfId="46" applyFont="1" applyFill="1" applyBorder="1" applyAlignment="1">
      <alignment horizontal="center" vertical="center"/>
    </xf>
    <xf numFmtId="0" fontId="51" fillId="30" borderId="0" xfId="46" applyFont="1" applyFill="1" applyBorder="1" applyAlignment="1">
      <alignment horizontal="center" vertical="center"/>
    </xf>
    <xf numFmtId="0" fontId="53" fillId="30" borderId="151" xfId="46" applyFont="1" applyFill="1" applyBorder="1" applyAlignment="1">
      <alignment horizontal="center" vertical="center"/>
    </xf>
    <xf numFmtId="0" fontId="53" fillId="30" borderId="100" xfId="46" applyFont="1" applyFill="1" applyBorder="1" applyAlignment="1">
      <alignment horizontal="center" vertical="center"/>
    </xf>
    <xf numFmtId="0" fontId="51" fillId="30" borderId="99" xfId="46" quotePrefix="1" applyFont="1" applyFill="1" applyBorder="1" applyAlignment="1">
      <alignment horizontal="center" vertical="center" wrapText="1"/>
    </xf>
    <xf numFmtId="0" fontId="51" fillId="30" borderId="46" xfId="46" quotePrefix="1" applyFont="1" applyFill="1" applyBorder="1" applyAlignment="1">
      <alignment horizontal="center" vertical="center" wrapText="1"/>
    </xf>
    <xf numFmtId="0" fontId="55" fillId="0" borderId="150" xfId="46" applyFont="1" applyFill="1" applyBorder="1" applyAlignment="1">
      <alignment horizontal="center" vertical="center"/>
    </xf>
    <xf numFmtId="0" fontId="55" fillId="0" borderId="55" xfId="46" applyFont="1" applyFill="1" applyBorder="1" applyAlignment="1">
      <alignment horizontal="center" vertical="center"/>
    </xf>
    <xf numFmtId="0" fontId="55" fillId="0" borderId="59" xfId="46" applyFont="1" applyFill="1" applyBorder="1" applyAlignment="1">
      <alignment horizontal="center" vertical="center"/>
    </xf>
    <xf numFmtId="178" fontId="7" fillId="0" borderId="99" xfId="0" applyNumberFormat="1" applyFont="1" applyBorder="1" applyAlignment="1">
      <alignment horizontal="center" vertical="center" wrapText="1"/>
    </xf>
    <xf numFmtId="178" fontId="7" fillId="0" borderId="108" xfId="0" applyNumberFormat="1" applyFont="1" applyBorder="1" applyAlignment="1">
      <alignment horizontal="center" vertical="center" wrapText="1"/>
    </xf>
    <xf numFmtId="178" fontId="7" fillId="0" borderId="139" xfId="0" applyNumberFormat="1" applyFont="1" applyBorder="1" applyAlignment="1">
      <alignment horizontal="center" vertical="center" wrapText="1"/>
    </xf>
    <xf numFmtId="178" fontId="7" fillId="26" borderId="137" xfId="0" applyNumberFormat="1" applyFont="1" applyFill="1" applyBorder="1" applyAlignment="1">
      <alignment horizontal="center" vertical="center"/>
    </xf>
    <xf numFmtId="178" fontId="7" fillId="26" borderId="145" xfId="0" applyNumberFormat="1" applyFont="1" applyFill="1" applyBorder="1" applyAlignment="1">
      <alignment horizontal="center" vertical="center"/>
    </xf>
    <xf numFmtId="178" fontId="7" fillId="26" borderId="12" xfId="0" applyNumberFormat="1" applyFont="1" applyFill="1" applyBorder="1" applyAlignment="1">
      <alignment horizontal="center" vertical="center"/>
    </xf>
    <xf numFmtId="178" fontId="7" fillId="26" borderId="146" xfId="0" applyNumberFormat="1" applyFont="1" applyFill="1" applyBorder="1" applyAlignment="1">
      <alignment horizontal="center" vertical="center"/>
    </xf>
    <xf numFmtId="178" fontId="7" fillId="0" borderId="147" xfId="0" applyNumberFormat="1" applyFont="1" applyBorder="1" applyAlignment="1">
      <alignment horizontal="center" vertical="center"/>
    </xf>
    <xf numFmtId="178" fontId="7" fillId="0" borderId="148" xfId="0" applyNumberFormat="1" applyFont="1" applyBorder="1" applyAlignment="1">
      <alignment horizontal="center" vertical="center"/>
    </xf>
    <xf numFmtId="178" fontId="7" fillId="0" borderId="46" xfId="0" applyNumberFormat="1" applyFont="1" applyBorder="1" applyAlignment="1">
      <alignment horizontal="center" vertical="center" wrapText="1"/>
    </xf>
    <xf numFmtId="178" fontId="7" fillId="0" borderId="85" xfId="0" applyNumberFormat="1" applyFont="1" applyBorder="1" applyAlignment="1">
      <alignment horizontal="center" vertical="center"/>
    </xf>
    <xf numFmtId="178" fontId="7" fillId="0" borderId="108" xfId="0" applyNumberFormat="1" applyFont="1" applyBorder="1" applyAlignment="1">
      <alignment horizontal="center" vertical="center"/>
    </xf>
    <xf numFmtId="178" fontId="7" fillId="0" borderId="139" xfId="0" applyNumberFormat="1" applyFont="1" applyBorder="1" applyAlignment="1">
      <alignment horizontal="center" vertical="center"/>
    </xf>
    <xf numFmtId="178" fontId="7" fillId="0" borderId="92" xfId="0" applyNumberFormat="1" applyFont="1" applyBorder="1" applyAlignment="1">
      <alignment horizontal="center" vertical="center" wrapText="1"/>
    </xf>
    <xf numFmtId="178" fontId="7" fillId="0" borderId="46" xfId="0" applyNumberFormat="1" applyFont="1" applyBorder="1" applyAlignment="1">
      <alignment horizontal="center" vertical="center"/>
    </xf>
    <xf numFmtId="178" fontId="7" fillId="0" borderId="149" xfId="0" applyNumberFormat="1" applyFont="1" applyBorder="1" applyAlignment="1">
      <alignment horizontal="center" vertical="center" wrapText="1"/>
    </xf>
    <xf numFmtId="178" fontId="7" fillId="0" borderId="137" xfId="0" applyNumberFormat="1" applyFont="1" applyBorder="1" applyAlignment="1">
      <alignment horizontal="center" vertical="center"/>
    </xf>
    <xf numFmtId="178" fontId="7" fillId="0" borderId="145" xfId="0" applyNumberFormat="1" applyFont="1" applyBorder="1" applyAlignment="1">
      <alignment horizontal="center" vertical="center"/>
    </xf>
    <xf numFmtId="178" fontId="7" fillId="0" borderId="99" xfId="0" applyNumberFormat="1" applyFont="1" applyBorder="1" applyAlignment="1">
      <alignment horizontal="center" vertical="center"/>
    </xf>
    <xf numFmtId="178" fontId="46" fillId="0" borderId="99" xfId="0" applyNumberFormat="1" applyFont="1" applyBorder="1" applyAlignment="1">
      <alignment horizontal="center" vertical="center" wrapText="1"/>
    </xf>
    <xf numFmtId="178" fontId="46" fillId="0" borderId="108" xfId="0" applyNumberFormat="1" applyFont="1" applyBorder="1" applyAlignment="1">
      <alignment horizontal="center" vertical="center" wrapText="1"/>
    </xf>
    <xf numFmtId="178" fontId="46" fillId="0" borderId="139" xfId="0" applyNumberFormat="1" applyFont="1" applyBorder="1" applyAlignment="1">
      <alignment horizontal="center" vertical="center" wrapText="1"/>
    </xf>
    <xf numFmtId="0" fontId="5" fillId="24" borderId="152" xfId="0" applyFont="1" applyFill="1" applyBorder="1" applyAlignment="1">
      <alignment horizontal="center" vertical="center"/>
    </xf>
    <xf numFmtId="0" fontId="5" fillId="24" borderId="83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1" borderId="152" xfId="0" applyFont="1" applyFill="1" applyBorder="1" applyAlignment="1">
      <alignment horizontal="center" vertical="center"/>
    </xf>
    <xf numFmtId="0" fontId="5" fillId="31" borderId="83" xfId="0" applyFont="1" applyFill="1" applyBorder="1" applyAlignment="1">
      <alignment horizontal="center" vertical="center"/>
    </xf>
    <xf numFmtId="0" fontId="5" fillId="27" borderId="152" xfId="0" applyFont="1" applyFill="1" applyBorder="1" applyAlignment="1">
      <alignment horizontal="center" vertical="center"/>
    </xf>
    <xf numFmtId="0" fontId="5" fillId="27" borderId="83" xfId="0" applyFont="1" applyFill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</cellXfs>
  <cellStyles count="4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 xr:uid="{00000000-0005-0000-0000-000021000000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/>
    <cellStyle name="표준 2" xfId="45" xr:uid="{00000000-0005-0000-0000-00002D000000}"/>
    <cellStyle name="표준_2007년 2월 현대실적 - 기아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25</xdr:row>
          <xdr:rowOff>15240</xdr:rowOff>
        </xdr:from>
        <xdr:to>
          <xdr:col>9</xdr:col>
          <xdr:colOff>464820</xdr:colOff>
          <xdr:row>42</xdr:row>
          <xdr:rowOff>106680</xdr:rowOff>
        </xdr:to>
        <xdr:pic>
          <xdr:nvPicPr>
            <xdr:cNvPr id="17727" name="그림 4">
              <a:extLst>
                <a:ext uri="{FF2B5EF4-FFF2-40B4-BE49-F238E27FC236}">
                  <a16:creationId xmlns:a16="http://schemas.microsoft.com/office/drawing/2014/main" id="{4FDB064C-1696-40B2-9356-3119531555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18:$E$32" spid="_x0000_s184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5260" y="5730240"/>
              <a:ext cx="5425440" cy="32004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9</xdr:col>
          <xdr:colOff>472440</xdr:colOff>
          <xdr:row>24</xdr:row>
          <xdr:rowOff>106680</xdr:rowOff>
        </xdr:to>
        <xdr:pic>
          <xdr:nvPicPr>
            <xdr:cNvPr id="17728" name="그림 19">
              <a:extLst>
                <a:ext uri="{FF2B5EF4-FFF2-40B4-BE49-F238E27FC236}">
                  <a16:creationId xmlns:a16="http://schemas.microsoft.com/office/drawing/2014/main" id="{1F4A443B-891B-43E8-AF04-717C6B36029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⊙카메라!$A$2:$E$16" spid="_x0000_s1840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5260" y="2674620"/>
              <a:ext cx="5433060" cy="29641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showGridLines="0" tabSelected="1" zoomScale="90" zoomScaleNormal="90" zoomScaleSheetLayoutView="85" workbookViewId="0">
      <pane ySplit="5" topLeftCell="A6" activePane="bottomLeft" state="frozen"/>
      <selection activeCell="H85" sqref="H85"/>
      <selection pane="bottomLeft" activeCell="Q6" sqref="Q6"/>
    </sheetView>
  </sheetViews>
  <sheetFormatPr defaultColWidth="8.796875" defaultRowHeight="14.4" x14ac:dyDescent="0.25"/>
  <cols>
    <col min="1" max="1" width="2.296875" customWidth="1"/>
    <col min="2" max="2" width="4.296875" style="1" customWidth="1"/>
    <col min="3" max="3" width="3.5" style="2" customWidth="1"/>
    <col min="4" max="4" width="9.59765625" style="2" customWidth="1"/>
    <col min="5" max="5" width="9.8984375" style="2" customWidth="1"/>
    <col min="6" max="6" width="8.296875" style="2" customWidth="1"/>
    <col min="7" max="7" width="9.59765625" style="2" customWidth="1"/>
    <col min="8" max="8" width="8.3984375" style="2" customWidth="1"/>
    <col min="9" max="9" width="11.5" style="2" customWidth="1"/>
    <col min="10" max="10" width="10.296875" style="2" bestFit="1" customWidth="1"/>
    <col min="11" max="11" width="8.5" style="2" customWidth="1"/>
    <col min="12" max="12" width="3.3984375" customWidth="1"/>
  </cols>
  <sheetData>
    <row r="2" spans="1:11" ht="17.399999999999999" x14ac:dyDescent="0.25">
      <c r="B2" s="382" t="s">
        <v>222</v>
      </c>
      <c r="C2" s="382"/>
      <c r="D2" s="382"/>
      <c r="E2" s="382"/>
      <c r="F2" s="382"/>
      <c r="G2" s="382"/>
      <c r="H2" s="382"/>
      <c r="I2" s="382"/>
      <c r="J2" s="382"/>
      <c r="K2" s="382"/>
    </row>
    <row r="3" spans="1:11" ht="15" thickBot="1" x14ac:dyDescent="0.3"/>
    <row r="4" spans="1:11" s="4" customFormat="1" ht="18.75" customHeight="1" x14ac:dyDescent="0.15">
      <c r="B4" s="378" t="s">
        <v>167</v>
      </c>
      <c r="C4" s="379"/>
      <c r="D4" s="119">
        <v>2022</v>
      </c>
      <c r="E4" s="3">
        <f>D4-1</f>
        <v>2021</v>
      </c>
      <c r="F4" s="383" t="s">
        <v>47</v>
      </c>
      <c r="G4" s="292">
        <v>2022</v>
      </c>
      <c r="H4" s="385" t="s">
        <v>48</v>
      </c>
      <c r="I4" s="270">
        <f>D4</f>
        <v>2022</v>
      </c>
      <c r="J4" s="3">
        <f>I4-1</f>
        <v>2021</v>
      </c>
      <c r="K4" s="383" t="s">
        <v>113</v>
      </c>
    </row>
    <row r="5" spans="1:11" ht="18.75" customHeight="1" thickBot="1" x14ac:dyDescent="0.3">
      <c r="B5" s="380"/>
      <c r="C5" s="381"/>
      <c r="D5" s="125">
        <v>10</v>
      </c>
      <c r="E5" s="5">
        <f>D5</f>
        <v>10</v>
      </c>
      <c r="F5" s="384"/>
      <c r="G5" s="293">
        <f>IF(D5=1,12,D5-1)</f>
        <v>9</v>
      </c>
      <c r="H5" s="386"/>
      <c r="I5" s="271">
        <f>D5</f>
        <v>10</v>
      </c>
      <c r="J5" s="118">
        <f>D5</f>
        <v>10</v>
      </c>
      <c r="K5" s="384"/>
    </row>
    <row r="6" spans="1:11" ht="37.5" customHeight="1" x14ac:dyDescent="0.25">
      <c r="B6" s="387" t="s">
        <v>49</v>
      </c>
      <c r="C6" s="388"/>
      <c r="D6" s="259">
        <v>60736</v>
      </c>
      <c r="E6" s="212">
        <v>57813</v>
      </c>
      <c r="F6" s="287">
        <f>(D6-E6)/E6</f>
        <v>5.0559562728106133E-2</v>
      </c>
      <c r="G6" s="285">
        <v>56910</v>
      </c>
      <c r="H6" s="213">
        <f>(D6-G6)/G6</f>
        <v>6.7228958003865746E-2</v>
      </c>
      <c r="I6" s="259">
        <v>557571</v>
      </c>
      <c r="J6" s="212">
        <v>598655</v>
      </c>
      <c r="K6" s="287">
        <f>(I6-J6)/J6</f>
        <v>-6.862717257853021E-2</v>
      </c>
    </row>
    <row r="7" spans="1:11" ht="37.5" customHeight="1" thickBot="1" x14ac:dyDescent="0.3">
      <c r="B7" s="389" t="s">
        <v>119</v>
      </c>
      <c r="C7" s="390"/>
      <c r="D7" s="265">
        <v>286588</v>
      </c>
      <c r="E7" s="214">
        <v>251668</v>
      </c>
      <c r="F7" s="288">
        <f>(D7-E7)/E7</f>
        <v>0.13875423176565951</v>
      </c>
      <c r="G7" s="290">
        <v>300643</v>
      </c>
      <c r="H7" s="291">
        <f>(D7-G7)/G7</f>
        <v>-4.6749799596198814E-2</v>
      </c>
      <c r="I7" s="265">
        <v>2693802</v>
      </c>
      <c r="J7" s="214">
        <v>2640913</v>
      </c>
      <c r="K7" s="288">
        <f>(I7-J7)/J7</f>
        <v>2.0026786190987737E-2</v>
      </c>
    </row>
    <row r="8" spans="1:11" ht="37.5" customHeight="1" thickBot="1" x14ac:dyDescent="0.3">
      <c r="B8" s="376" t="s">
        <v>50</v>
      </c>
      <c r="C8" s="377"/>
      <c r="D8" s="142">
        <f>SUM(D6:D7)</f>
        <v>347324</v>
      </c>
      <c r="E8" s="143">
        <f>SUM(E6:E7)</f>
        <v>309481</v>
      </c>
      <c r="F8" s="144">
        <f>(D8-E8)/E8</f>
        <v>0.1222789121141524</v>
      </c>
      <c r="G8" s="286">
        <f>SUM(G6:G7)</f>
        <v>357553</v>
      </c>
      <c r="H8" s="145">
        <f>(D8-G8)/G8</f>
        <v>-2.860834617525234E-2</v>
      </c>
      <c r="I8" s="142">
        <f>SUM(I6:I7)</f>
        <v>3251373</v>
      </c>
      <c r="J8" s="143">
        <f>SUM(J6:J7)</f>
        <v>3239568</v>
      </c>
      <c r="K8" s="144">
        <f>(I8-J8)/J8</f>
        <v>3.6440043857699543E-3</v>
      </c>
    </row>
    <row r="9" spans="1:11" ht="15" customHeight="1" x14ac:dyDescent="0.25">
      <c r="A9" s="197"/>
      <c r="B9" s="261"/>
      <c r="C9" s="261"/>
      <c r="D9" s="299"/>
      <c r="E9" s="262"/>
      <c r="F9" s="300"/>
      <c r="G9" s="262"/>
      <c r="H9" s="300"/>
      <c r="I9" s="299"/>
      <c r="J9" s="262"/>
      <c r="K9" s="300"/>
    </row>
    <row r="10" spans="1:11" ht="15" customHeight="1" x14ac:dyDescent="0.25">
      <c r="A10" s="197"/>
      <c r="B10" s="261"/>
      <c r="C10" s="261"/>
      <c r="D10" s="299"/>
      <c r="E10" s="262"/>
      <c r="F10" s="300"/>
      <c r="G10" s="262"/>
      <c r="H10" s="300"/>
      <c r="I10" s="299"/>
      <c r="J10" s="262"/>
      <c r="K10" s="300"/>
    </row>
    <row r="11" spans="1:11" ht="15" customHeight="1" x14ac:dyDescent="0.25">
      <c r="A11" s="197"/>
      <c r="B11" s="261"/>
      <c r="C11" s="261"/>
      <c r="D11" s="299"/>
      <c r="E11" s="262"/>
      <c r="F11" s="300"/>
      <c r="G11" s="262"/>
      <c r="H11" s="300"/>
      <c r="I11" s="299"/>
      <c r="J11" s="262"/>
      <c r="K11" s="300"/>
    </row>
    <row r="12" spans="1:11" ht="15" customHeight="1" x14ac:dyDescent="0.25">
      <c r="A12" s="197"/>
      <c r="B12" s="261"/>
      <c r="C12" s="261"/>
      <c r="D12" s="299"/>
      <c r="E12" s="262"/>
      <c r="F12" s="300"/>
      <c r="G12" s="262"/>
      <c r="H12" s="300"/>
      <c r="I12" s="299"/>
      <c r="J12" s="262"/>
      <c r="K12" s="300"/>
    </row>
    <row r="13" spans="1:11" ht="15" customHeight="1" x14ac:dyDescent="0.25">
      <c r="A13" s="197"/>
      <c r="B13" s="261"/>
      <c r="C13" s="261"/>
      <c r="D13" s="299"/>
      <c r="E13" s="262"/>
      <c r="F13" s="300"/>
      <c r="G13" s="262"/>
      <c r="H13" s="300"/>
      <c r="I13" s="299"/>
      <c r="J13" s="262"/>
      <c r="K13" s="300"/>
    </row>
    <row r="14" spans="1:11" ht="15" customHeight="1" x14ac:dyDescent="0.25">
      <c r="A14" s="197"/>
      <c r="B14" s="261"/>
      <c r="C14" s="261"/>
      <c r="D14" s="299"/>
      <c r="E14" s="262"/>
      <c r="F14" s="300"/>
      <c r="G14" s="262"/>
      <c r="H14" s="300"/>
      <c r="I14" s="299"/>
      <c r="J14" s="262"/>
      <c r="K14" s="300"/>
    </row>
    <row r="15" spans="1:11" ht="15" customHeight="1" x14ac:dyDescent="0.25">
      <c r="A15" s="197"/>
      <c r="B15" s="261"/>
      <c r="C15" s="261"/>
      <c r="D15" s="299"/>
      <c r="E15" s="262"/>
      <c r="F15" s="300"/>
      <c r="G15" s="262"/>
      <c r="H15" s="300"/>
      <c r="I15" s="299"/>
      <c r="J15" s="262"/>
      <c r="K15" s="300"/>
    </row>
    <row r="16" spans="1:11" ht="15" customHeight="1" x14ac:dyDescent="0.25">
      <c r="A16" s="197"/>
      <c r="B16" s="261"/>
      <c r="C16" s="261"/>
      <c r="D16" s="299"/>
      <c r="E16" s="262"/>
      <c r="F16" s="300"/>
      <c r="G16" s="262"/>
      <c r="H16" s="300"/>
      <c r="I16" s="299"/>
      <c r="J16" s="262"/>
      <c r="K16" s="300"/>
    </row>
    <row r="17" spans="1:11" ht="15" customHeight="1" x14ac:dyDescent="0.25">
      <c r="A17" s="197"/>
      <c r="B17" s="261"/>
      <c r="C17" s="261"/>
      <c r="D17" s="299"/>
      <c r="E17" s="262"/>
      <c r="F17" s="300"/>
      <c r="G17" s="262"/>
      <c r="H17" s="300"/>
      <c r="I17" s="299"/>
      <c r="J17" s="262"/>
      <c r="K17" s="300"/>
    </row>
    <row r="18" spans="1:11" ht="15" customHeight="1" x14ac:dyDescent="0.25">
      <c r="A18" s="197"/>
      <c r="B18" s="261"/>
      <c r="C18" s="261"/>
      <c r="D18" s="299"/>
      <c r="E18" s="262"/>
      <c r="F18" s="300"/>
      <c r="G18" s="262"/>
      <c r="H18" s="300"/>
      <c r="I18" s="299"/>
      <c r="J18" s="262"/>
      <c r="K18" s="300"/>
    </row>
    <row r="19" spans="1:11" ht="15" customHeight="1" x14ac:dyDescent="0.25">
      <c r="A19" s="197"/>
      <c r="B19" s="261"/>
      <c r="C19" s="261"/>
      <c r="D19" s="299"/>
      <c r="E19" s="262"/>
      <c r="F19" s="300"/>
      <c r="G19" s="262"/>
      <c r="H19" s="300"/>
      <c r="I19" s="299"/>
      <c r="J19" s="262"/>
      <c r="K19" s="300"/>
    </row>
    <row r="20" spans="1:11" ht="15" customHeight="1" x14ac:dyDescent="0.25">
      <c r="A20" s="197"/>
      <c r="B20" s="261"/>
      <c r="C20" s="261"/>
      <c r="D20" s="299"/>
      <c r="E20" s="262"/>
      <c r="F20" s="300"/>
      <c r="G20" s="262"/>
      <c r="H20" s="300"/>
      <c r="I20" s="299"/>
      <c r="J20" s="262"/>
      <c r="K20" s="300"/>
    </row>
    <row r="21" spans="1:11" ht="15" customHeight="1" x14ac:dyDescent="0.25">
      <c r="A21" s="197"/>
      <c r="B21" s="261"/>
      <c r="C21" s="261"/>
      <c r="D21" s="299"/>
      <c r="E21" s="262"/>
      <c r="F21" s="300"/>
      <c r="G21" s="262"/>
      <c r="H21" s="300"/>
      <c r="I21" s="299"/>
      <c r="J21" s="262"/>
      <c r="K21" s="300"/>
    </row>
    <row r="22" spans="1:11" ht="15" customHeight="1" x14ac:dyDescent="0.25">
      <c r="A22" s="197"/>
      <c r="B22" s="261"/>
      <c r="C22" s="261"/>
      <c r="D22" s="299"/>
      <c r="E22" s="262"/>
      <c r="F22" s="300"/>
      <c r="G22" s="262"/>
      <c r="H22" s="300"/>
      <c r="I22" s="299"/>
      <c r="J22" s="262"/>
      <c r="K22" s="300"/>
    </row>
    <row r="23" spans="1:11" ht="15" customHeight="1" x14ac:dyDescent="0.25">
      <c r="A23" s="197"/>
      <c r="B23" s="261"/>
      <c r="C23" s="261"/>
      <c r="D23" s="299"/>
      <c r="E23" s="262"/>
      <c r="F23" s="300"/>
      <c r="G23" s="262"/>
      <c r="H23" s="300"/>
      <c r="I23" s="299"/>
      <c r="J23" s="262"/>
      <c r="K23" s="300"/>
    </row>
    <row r="24" spans="1:11" ht="15" customHeight="1" x14ac:dyDescent="0.25">
      <c r="A24" s="197"/>
      <c r="B24" s="261"/>
      <c r="C24" s="261"/>
      <c r="D24" s="299"/>
      <c r="E24" s="262"/>
      <c r="F24" s="300"/>
      <c r="G24" s="262"/>
      <c r="H24" s="300"/>
      <c r="I24" s="299"/>
      <c r="J24" s="262"/>
      <c r="K24" s="300"/>
    </row>
    <row r="25" spans="1:11" x14ac:dyDescent="0.25">
      <c r="J25" s="117"/>
    </row>
    <row r="26" spans="1:11" x14ac:dyDescent="0.25">
      <c r="J26" s="117"/>
    </row>
    <row r="27" spans="1:11" x14ac:dyDescent="0.25">
      <c r="J27" s="117"/>
    </row>
    <row r="28" spans="1:11" x14ac:dyDescent="0.25">
      <c r="J28" s="117"/>
    </row>
    <row r="29" spans="1:11" x14ac:dyDescent="0.25">
      <c r="J29" s="117"/>
    </row>
    <row r="30" spans="1:11" x14ac:dyDescent="0.25">
      <c r="J30" s="117"/>
    </row>
    <row r="31" spans="1:11" x14ac:dyDescent="0.25">
      <c r="J31" s="117"/>
    </row>
    <row r="32" spans="1:11" x14ac:dyDescent="0.25">
      <c r="J32" s="117"/>
    </row>
    <row r="33" spans="10:10" x14ac:dyDescent="0.25">
      <c r="J33" s="117"/>
    </row>
    <row r="34" spans="10:10" x14ac:dyDescent="0.25">
      <c r="J34" s="117"/>
    </row>
    <row r="35" spans="10:10" x14ac:dyDescent="0.25">
      <c r="J35" s="117"/>
    </row>
    <row r="36" spans="10:10" x14ac:dyDescent="0.25">
      <c r="J36" s="117"/>
    </row>
    <row r="37" spans="10:10" x14ac:dyDescent="0.25">
      <c r="J37" s="117"/>
    </row>
    <row r="38" spans="10:10" x14ac:dyDescent="0.25">
      <c r="J38" s="117"/>
    </row>
    <row r="39" spans="10:10" x14ac:dyDescent="0.25">
      <c r="J39" s="117"/>
    </row>
    <row r="40" spans="10:10" x14ac:dyDescent="0.25">
      <c r="J40" s="117"/>
    </row>
    <row r="41" spans="10:10" x14ac:dyDescent="0.25">
      <c r="J41" s="117"/>
    </row>
    <row r="42" spans="10:10" x14ac:dyDescent="0.25">
      <c r="J42" s="117"/>
    </row>
    <row r="43" spans="10:10" x14ac:dyDescent="0.25">
      <c r="J43" s="117"/>
    </row>
    <row r="44" spans="10:10" x14ac:dyDescent="0.25">
      <c r="J44" s="117"/>
    </row>
    <row r="45" spans="10:10" x14ac:dyDescent="0.25">
      <c r="J45" s="117"/>
    </row>
    <row r="46" spans="10:10" x14ac:dyDescent="0.25">
      <c r="J46" s="117"/>
    </row>
    <row r="47" spans="10:10" x14ac:dyDescent="0.25">
      <c r="J47" s="117"/>
    </row>
    <row r="48" spans="10:10" x14ac:dyDescent="0.25">
      <c r="J48" s="117"/>
    </row>
    <row r="49" spans="5:10" x14ac:dyDescent="0.25">
      <c r="J49" s="117"/>
    </row>
    <row r="50" spans="5:10" x14ac:dyDescent="0.25">
      <c r="J50" s="117"/>
    </row>
    <row r="51" spans="5:10" x14ac:dyDescent="0.25">
      <c r="J51" s="117"/>
    </row>
    <row r="52" spans="5:10" x14ac:dyDescent="0.25">
      <c r="J52" s="117"/>
    </row>
    <row r="53" spans="5:10" x14ac:dyDescent="0.25">
      <c r="J53" s="117"/>
    </row>
    <row r="54" spans="5:10" x14ac:dyDescent="0.25">
      <c r="J54" s="117"/>
    </row>
    <row r="55" spans="5:10" x14ac:dyDescent="0.25">
      <c r="J55" s="117"/>
    </row>
    <row r="56" spans="5:10" x14ac:dyDescent="0.25">
      <c r="J56" s="117"/>
    </row>
    <row r="57" spans="5:10" x14ac:dyDescent="0.25">
      <c r="J57" s="117"/>
    </row>
    <row r="58" spans="5:10" x14ac:dyDescent="0.25">
      <c r="J58" s="117"/>
    </row>
    <row r="59" spans="5:10" x14ac:dyDescent="0.25">
      <c r="J59" s="117"/>
    </row>
    <row r="60" spans="5:10" x14ac:dyDescent="0.25">
      <c r="J60" s="117"/>
    </row>
    <row r="61" spans="5:10" x14ac:dyDescent="0.25">
      <c r="J61" s="117"/>
    </row>
    <row r="62" spans="5:10" x14ac:dyDescent="0.25">
      <c r="E62" s="120"/>
      <c r="J62" s="117"/>
    </row>
    <row r="63" spans="5:10" x14ac:dyDescent="0.25">
      <c r="E63" s="120"/>
      <c r="J63" s="117"/>
    </row>
    <row r="64" spans="5:10" x14ac:dyDescent="0.25">
      <c r="J64" s="117"/>
    </row>
    <row r="71" spans="10:10" x14ac:dyDescent="0.25">
      <c r="J71" s="121"/>
    </row>
  </sheetData>
  <mergeCells count="8">
    <mergeCell ref="B8:C8"/>
    <mergeCell ref="B4:C5"/>
    <mergeCell ref="B2:K2"/>
    <mergeCell ref="F4:F5"/>
    <mergeCell ref="H4:H5"/>
    <mergeCell ref="K4:K5"/>
    <mergeCell ref="B6:C6"/>
    <mergeCell ref="B7:C7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H8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7"/>
  <sheetViews>
    <sheetView showGridLines="0" topLeftCell="B1" zoomScale="85" zoomScaleNormal="85" zoomScaleSheetLayoutView="100" workbookViewId="0">
      <pane ySplit="4" topLeftCell="A29" activePane="bottomLeft" state="frozen"/>
      <selection activeCell="F50" sqref="F50"/>
      <selection pane="bottomLeft" activeCell="F50" sqref="F50"/>
    </sheetView>
  </sheetViews>
  <sheetFormatPr defaultColWidth="8" defaultRowHeight="15.6" x14ac:dyDescent="0.25"/>
  <cols>
    <col min="1" max="1" width="2" style="49" customWidth="1"/>
    <col min="2" max="3" width="2.59765625" style="49" customWidth="1"/>
    <col min="4" max="4" width="10.8984375" style="49" customWidth="1"/>
    <col min="5" max="5" width="10.296875" style="49" customWidth="1"/>
    <col min="6" max="6" width="9" style="49" customWidth="1"/>
    <col min="7" max="7" width="8.59765625" style="50" customWidth="1"/>
    <col min="8" max="9" width="10.296875" style="49" customWidth="1"/>
    <col min="10" max="10" width="11.09765625" style="49" customWidth="1"/>
    <col min="11" max="11" width="9.59765625" style="49" customWidth="1"/>
    <col min="12" max="12" width="11.296875" style="49" bestFit="1" customWidth="1"/>
    <col min="13" max="13" width="11.8984375" style="49" customWidth="1"/>
    <col min="14" max="14" width="9.69921875" style="49" customWidth="1"/>
    <col min="15" max="18" width="8" style="49" customWidth="1"/>
    <col min="19" max="16384" width="8" style="49"/>
  </cols>
  <sheetData>
    <row r="1" spans="2:22" s="48" customFormat="1" ht="27.75" customHeight="1" x14ac:dyDescent="0.25">
      <c r="B1" s="394" t="s">
        <v>222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2:22" ht="5.25" customHeight="1" x14ac:dyDescent="0.25">
      <c r="F2" s="49" t="s">
        <v>17</v>
      </c>
    </row>
    <row r="3" spans="2:22" s="51" customFormat="1" ht="22.5" customHeight="1" x14ac:dyDescent="0.25">
      <c r="B3" s="396" t="s">
        <v>18</v>
      </c>
      <c r="C3" s="397"/>
      <c r="D3" s="397"/>
      <c r="E3" s="187" t="s">
        <v>193</v>
      </c>
      <c r="F3" s="188"/>
      <c r="G3" s="189"/>
      <c r="H3" s="314" t="s">
        <v>165</v>
      </c>
      <c r="I3" s="315" t="s">
        <v>193</v>
      </c>
      <c r="J3" s="400" t="s">
        <v>223</v>
      </c>
      <c r="K3" s="190"/>
      <c r="L3" s="402" t="s">
        <v>224</v>
      </c>
      <c r="N3" s="110"/>
    </row>
    <row r="4" spans="2:22" s="51" customFormat="1" ht="32.4" x14ac:dyDescent="0.25">
      <c r="B4" s="398"/>
      <c r="C4" s="399"/>
      <c r="D4" s="399"/>
      <c r="E4" s="135">
        <v>10</v>
      </c>
      <c r="F4" s="80" t="s">
        <v>59</v>
      </c>
      <c r="G4" s="81" t="s">
        <v>29</v>
      </c>
      <c r="H4" s="312">
        <f>E4</f>
        <v>10</v>
      </c>
      <c r="I4" s="313">
        <f>IF(E4=1,12,E4-1)</f>
        <v>9</v>
      </c>
      <c r="J4" s="401"/>
      <c r="K4" s="122" t="s">
        <v>30</v>
      </c>
      <c r="L4" s="403"/>
      <c r="N4" s="111"/>
      <c r="R4" s="111"/>
    </row>
    <row r="5" spans="2:22" ht="20.25" customHeight="1" x14ac:dyDescent="0.25">
      <c r="B5" s="406"/>
      <c r="C5" s="406"/>
      <c r="D5" s="55" t="s">
        <v>31</v>
      </c>
      <c r="E5" s="358">
        <v>0</v>
      </c>
      <c r="F5" s="217">
        <f t="shared" ref="F5:F37" si="0">(E5-H5)/H5</f>
        <v>-1</v>
      </c>
      <c r="G5" s="218" t="e">
        <f>(E5-I5)/I5</f>
        <v>#DIV/0!</v>
      </c>
      <c r="H5" s="334">
        <v>26</v>
      </c>
      <c r="I5" s="334">
        <v>0</v>
      </c>
      <c r="J5" s="358">
        <v>183</v>
      </c>
      <c r="K5" s="219">
        <f t="shared" ref="K5:K39" si="1">(J5-L5)/L5</f>
        <v>-0.6056034482758621</v>
      </c>
      <c r="L5" s="333">
        <v>464</v>
      </c>
      <c r="M5" s="53"/>
      <c r="N5" s="112"/>
      <c r="R5" s="112"/>
    </row>
    <row r="6" spans="2:22" ht="20.25" customHeight="1" x14ac:dyDescent="0.25">
      <c r="B6" s="406"/>
      <c r="C6" s="406"/>
      <c r="D6" s="55" t="s">
        <v>24</v>
      </c>
      <c r="E6" s="358">
        <v>5615</v>
      </c>
      <c r="F6" s="217">
        <f t="shared" si="0"/>
        <v>0.66716152019002373</v>
      </c>
      <c r="G6" s="218">
        <f t="shared" ref="G6:G37" si="2">(E6-I6)/I6</f>
        <v>0.26066457117198022</v>
      </c>
      <c r="H6" s="334">
        <v>3368</v>
      </c>
      <c r="I6" s="334">
        <v>4454</v>
      </c>
      <c r="J6" s="358">
        <v>44808</v>
      </c>
      <c r="K6" s="219">
        <f t="shared" si="1"/>
        <v>-0.23587994542974078</v>
      </c>
      <c r="L6" s="331">
        <v>58640</v>
      </c>
      <c r="M6" s="53"/>
      <c r="N6" s="112"/>
      <c r="R6" s="112"/>
    </row>
    <row r="7" spans="2:22" ht="20.25" customHeight="1" x14ac:dyDescent="0.25">
      <c r="B7" s="406"/>
      <c r="C7" s="406"/>
      <c r="D7" s="55" t="s">
        <v>69</v>
      </c>
      <c r="E7" s="255">
        <v>0</v>
      </c>
      <c r="F7" s="217" t="e">
        <f t="shared" si="0"/>
        <v>#DIV/0!</v>
      </c>
      <c r="G7" s="218" t="e">
        <f t="shared" si="2"/>
        <v>#DIV/0!</v>
      </c>
      <c r="H7" s="294">
        <v>0</v>
      </c>
      <c r="I7" s="294">
        <v>0</v>
      </c>
      <c r="J7" s="255">
        <v>0</v>
      </c>
      <c r="K7" s="219">
        <f t="shared" si="1"/>
        <v>-1</v>
      </c>
      <c r="L7" s="339">
        <v>1</v>
      </c>
      <c r="M7" s="53"/>
      <c r="N7" s="112"/>
      <c r="R7" s="112"/>
    </row>
    <row r="8" spans="2:22" ht="20.25" customHeight="1" x14ac:dyDescent="0.25">
      <c r="B8" s="406"/>
      <c r="C8" s="406"/>
      <c r="D8" s="55" t="s">
        <v>32</v>
      </c>
      <c r="E8" s="255">
        <v>0</v>
      </c>
      <c r="F8" s="217" t="e">
        <f t="shared" si="0"/>
        <v>#DIV/0!</v>
      </c>
      <c r="G8" s="218" t="e">
        <f t="shared" si="2"/>
        <v>#DIV/0!</v>
      </c>
      <c r="H8" s="294">
        <v>0</v>
      </c>
      <c r="I8" s="294">
        <v>0</v>
      </c>
      <c r="J8" s="255">
        <v>0</v>
      </c>
      <c r="K8" s="219">
        <f t="shared" si="1"/>
        <v>-1</v>
      </c>
      <c r="L8" s="339">
        <v>1</v>
      </c>
      <c r="M8" s="53"/>
      <c r="N8" s="112"/>
      <c r="R8" s="112"/>
    </row>
    <row r="9" spans="2:22" ht="20.25" customHeight="1" x14ac:dyDescent="0.25">
      <c r="B9" s="406"/>
      <c r="C9" s="406"/>
      <c r="D9" s="56" t="s">
        <v>25</v>
      </c>
      <c r="E9" s="358">
        <v>3323</v>
      </c>
      <c r="F9" s="217">
        <f t="shared" si="0"/>
        <v>-0.45844198174706652</v>
      </c>
      <c r="G9" s="218">
        <f t="shared" si="2"/>
        <v>-0.27524536532170119</v>
      </c>
      <c r="H9" s="334">
        <v>6136</v>
      </c>
      <c r="I9" s="334">
        <v>4585</v>
      </c>
      <c r="J9" s="358">
        <v>40053</v>
      </c>
      <c r="K9" s="219">
        <f t="shared" si="1"/>
        <v>-0.22817666782286969</v>
      </c>
      <c r="L9" s="331">
        <v>51894</v>
      </c>
      <c r="M9" s="53"/>
      <c r="N9" s="112"/>
      <c r="R9" s="112"/>
    </row>
    <row r="10" spans="2:22" ht="20.25" customHeight="1" x14ac:dyDescent="0.25">
      <c r="B10" s="406"/>
      <c r="C10" s="406"/>
      <c r="D10" s="55" t="s">
        <v>221</v>
      </c>
      <c r="E10" s="254">
        <v>3667</v>
      </c>
      <c r="F10" s="217" t="e">
        <f t="shared" ref="F10" si="3">(E10-H10)/H10</f>
        <v>#DIV/0!</v>
      </c>
      <c r="G10" s="218">
        <f t="shared" ref="G10" si="4">(E10-I10)/I10</f>
        <v>0.38273001508295623</v>
      </c>
      <c r="H10" s="327">
        <v>0</v>
      </c>
      <c r="I10" s="334">
        <v>2652</v>
      </c>
      <c r="J10" s="254">
        <v>6327</v>
      </c>
      <c r="K10" s="219" t="e">
        <f t="shared" ref="K10" si="5">(J10-L10)/L10</f>
        <v>#DIV/0!</v>
      </c>
      <c r="L10" s="220">
        <v>0</v>
      </c>
      <c r="M10" s="53"/>
      <c r="N10" s="112"/>
      <c r="R10" s="112"/>
    </row>
    <row r="11" spans="2:22" ht="20.25" customHeight="1" x14ac:dyDescent="0.25">
      <c r="B11" s="406"/>
      <c r="C11" s="406"/>
      <c r="D11" s="57" t="s">
        <v>27</v>
      </c>
      <c r="E11" s="358">
        <v>4661</v>
      </c>
      <c r="F11" s="217">
        <f t="shared" si="0"/>
        <v>-0.50666807790008472</v>
      </c>
      <c r="G11" s="218">
        <f t="shared" si="2"/>
        <v>3.8768037906525953E-3</v>
      </c>
      <c r="H11" s="334">
        <v>9448</v>
      </c>
      <c r="I11" s="334">
        <v>4643</v>
      </c>
      <c r="J11" s="358">
        <v>54359</v>
      </c>
      <c r="K11" s="219">
        <f t="shared" si="1"/>
        <v>-0.26962351866283291</v>
      </c>
      <c r="L11" s="331">
        <v>74426</v>
      </c>
      <c r="M11" s="53"/>
      <c r="N11" s="112"/>
      <c r="R11" s="112"/>
    </row>
    <row r="12" spans="2:22" ht="20.25" customHeight="1" x14ac:dyDescent="0.25">
      <c r="B12" s="406"/>
      <c r="C12" s="404" t="s">
        <v>127</v>
      </c>
      <c r="D12" s="405"/>
      <c r="E12" s="256">
        <f>SUM(E5:E11)</f>
        <v>17266</v>
      </c>
      <c r="F12" s="221">
        <f t="shared" si="0"/>
        <v>-9.0209716513858146E-2</v>
      </c>
      <c r="G12" s="222">
        <f t="shared" si="2"/>
        <v>5.7058895555283456E-2</v>
      </c>
      <c r="H12" s="295">
        <f>SUM(H5:H11)</f>
        <v>18978</v>
      </c>
      <c r="I12" s="295">
        <f>SUM(I5:I11)</f>
        <v>16334</v>
      </c>
      <c r="J12" s="364">
        <f>SUM(J5:J11)</f>
        <v>145730</v>
      </c>
      <c r="K12" s="223">
        <f t="shared" si="1"/>
        <v>-0.21408001035453497</v>
      </c>
      <c r="L12" s="340">
        <f>SUM(L5:L11)</f>
        <v>185426</v>
      </c>
      <c r="M12" s="53"/>
      <c r="N12" s="112"/>
      <c r="R12" s="112"/>
      <c r="V12" s="112"/>
    </row>
    <row r="13" spans="2:22" ht="20.25" customHeight="1" x14ac:dyDescent="0.25">
      <c r="B13" s="406"/>
      <c r="C13" s="406"/>
      <c r="D13" s="55" t="s">
        <v>185</v>
      </c>
      <c r="E13" s="359">
        <v>3908</v>
      </c>
      <c r="F13" s="227">
        <f t="shared" si="0"/>
        <v>0.55945730247406222</v>
      </c>
      <c r="G13" s="218">
        <f t="shared" si="2"/>
        <v>-3.0753968253968252E-2</v>
      </c>
      <c r="H13" s="335">
        <v>2506</v>
      </c>
      <c r="I13" s="335">
        <v>4032</v>
      </c>
      <c r="J13" s="359">
        <v>38920</v>
      </c>
      <c r="K13" s="219">
        <f t="shared" ref="K13:K18" si="6">(J13-L13)/L13</f>
        <v>13.340456890198968</v>
      </c>
      <c r="L13" s="333">
        <v>2714</v>
      </c>
      <c r="M13" s="53"/>
      <c r="N13" s="112"/>
      <c r="R13" s="112"/>
    </row>
    <row r="14" spans="2:22" ht="20.25" customHeight="1" x14ac:dyDescent="0.25">
      <c r="B14" s="406"/>
      <c r="C14" s="406"/>
      <c r="D14" s="55" t="s">
        <v>138</v>
      </c>
      <c r="E14" s="358">
        <v>702</v>
      </c>
      <c r="F14" s="227">
        <f t="shared" si="0"/>
        <v>-0.30009970089730809</v>
      </c>
      <c r="G14" s="227">
        <f t="shared" si="2"/>
        <v>4.3090638930163447E-2</v>
      </c>
      <c r="H14" s="334">
        <v>1003</v>
      </c>
      <c r="I14" s="334">
        <v>673</v>
      </c>
      <c r="J14" s="358">
        <v>6974</v>
      </c>
      <c r="K14" s="219">
        <f t="shared" si="6"/>
        <v>-0.37379904821765286</v>
      </c>
      <c r="L14" s="331">
        <v>11137</v>
      </c>
      <c r="M14" s="53"/>
      <c r="N14" s="112"/>
      <c r="R14" s="112"/>
    </row>
    <row r="15" spans="2:22" ht="20.25" customHeight="1" x14ac:dyDescent="0.25">
      <c r="B15" s="406"/>
      <c r="C15" s="406"/>
      <c r="D15" s="55" t="s">
        <v>114</v>
      </c>
      <c r="E15" s="358">
        <v>493</v>
      </c>
      <c r="F15" s="227">
        <f t="shared" si="0"/>
        <v>-0.49435897435897436</v>
      </c>
      <c r="G15" s="218">
        <f t="shared" si="2"/>
        <v>-0.2199367088607595</v>
      </c>
      <c r="H15" s="334">
        <v>975</v>
      </c>
      <c r="I15" s="334">
        <v>632</v>
      </c>
      <c r="J15" s="358">
        <v>6967</v>
      </c>
      <c r="K15" s="219">
        <f t="shared" si="6"/>
        <v>-0.33463852545124628</v>
      </c>
      <c r="L15" s="331">
        <v>10471</v>
      </c>
      <c r="M15" s="53"/>
      <c r="N15" s="112"/>
      <c r="R15" s="112"/>
    </row>
    <row r="16" spans="2:22" ht="20.25" customHeight="1" x14ac:dyDescent="0.25">
      <c r="B16" s="406"/>
      <c r="C16" s="406"/>
      <c r="D16" s="55" t="s">
        <v>60</v>
      </c>
      <c r="E16" s="358">
        <v>1729</v>
      </c>
      <c r="F16" s="227">
        <f t="shared" si="0"/>
        <v>-0.40604603229130881</v>
      </c>
      <c r="G16" s="218">
        <f t="shared" si="2"/>
        <v>-0.29486133768352363</v>
      </c>
      <c r="H16" s="334">
        <v>2911</v>
      </c>
      <c r="I16" s="334">
        <v>2452</v>
      </c>
      <c r="J16" s="358">
        <v>27495</v>
      </c>
      <c r="K16" s="219">
        <f t="shared" si="6"/>
        <v>-0.33245119937845974</v>
      </c>
      <c r="L16" s="331">
        <v>41188</v>
      </c>
      <c r="M16" s="53"/>
      <c r="N16" s="112"/>
      <c r="R16" s="112"/>
    </row>
    <row r="17" spans="2:21" ht="20.25" customHeight="1" x14ac:dyDescent="0.25">
      <c r="B17" s="406"/>
      <c r="C17" s="406"/>
      <c r="D17" s="55" t="s">
        <v>173</v>
      </c>
      <c r="E17" s="358">
        <v>2169</v>
      </c>
      <c r="F17" s="227">
        <f t="shared" si="0"/>
        <v>-0.42664551942902457</v>
      </c>
      <c r="G17" s="218">
        <f t="shared" si="2"/>
        <v>-9.474123539232053E-2</v>
      </c>
      <c r="H17" s="334">
        <v>3783</v>
      </c>
      <c r="I17" s="334">
        <v>2396</v>
      </c>
      <c r="J17" s="358">
        <v>24768</v>
      </c>
      <c r="K17" s="219">
        <f t="shared" si="6"/>
        <v>0.28664935064935065</v>
      </c>
      <c r="L17" s="331">
        <v>19250</v>
      </c>
      <c r="M17" s="53"/>
      <c r="N17" s="112"/>
      <c r="R17" s="112"/>
    </row>
    <row r="18" spans="2:21" ht="20.25" customHeight="1" x14ac:dyDescent="0.25">
      <c r="B18" s="406"/>
      <c r="C18" s="406"/>
      <c r="D18" s="55" t="s">
        <v>125</v>
      </c>
      <c r="E18" s="358">
        <v>1101</v>
      </c>
      <c r="F18" s="227">
        <f t="shared" si="0"/>
        <v>0.17127659574468085</v>
      </c>
      <c r="G18" s="218">
        <f t="shared" si="2"/>
        <v>1.662049861495845E-2</v>
      </c>
      <c r="H18" s="334">
        <v>940</v>
      </c>
      <c r="I18" s="334">
        <v>1083</v>
      </c>
      <c r="J18" s="358">
        <v>8622</v>
      </c>
      <c r="K18" s="219">
        <f t="shared" si="6"/>
        <v>0.1744993870044953</v>
      </c>
      <c r="L18" s="331">
        <v>7341</v>
      </c>
      <c r="M18" s="53"/>
      <c r="N18" s="112"/>
      <c r="R18" s="112"/>
    </row>
    <row r="19" spans="2:21" ht="20.25" customHeight="1" x14ac:dyDescent="0.25">
      <c r="B19" s="406"/>
      <c r="C19" s="406"/>
      <c r="D19" s="55" t="s">
        <v>8</v>
      </c>
      <c r="E19" s="358">
        <v>2722</v>
      </c>
      <c r="F19" s="217">
        <f t="shared" si="0"/>
        <v>-0.2209502003434459</v>
      </c>
      <c r="G19" s="218">
        <f t="shared" si="2"/>
        <v>0.16974645466265578</v>
      </c>
      <c r="H19" s="334">
        <v>3494</v>
      </c>
      <c r="I19" s="334">
        <v>2327</v>
      </c>
      <c r="J19" s="358">
        <v>22030</v>
      </c>
      <c r="K19" s="219">
        <f t="shared" si="1"/>
        <v>-0.37379192723138149</v>
      </c>
      <c r="L19" s="331">
        <v>35180</v>
      </c>
      <c r="M19" s="53"/>
      <c r="N19" s="112"/>
      <c r="R19" s="112"/>
    </row>
    <row r="20" spans="2:21" ht="20.25" customHeight="1" x14ac:dyDescent="0.25">
      <c r="B20" s="406"/>
      <c r="C20" s="406"/>
      <c r="D20" s="57" t="s">
        <v>134</v>
      </c>
      <c r="E20" s="360">
        <v>4147</v>
      </c>
      <c r="F20" s="228">
        <f t="shared" si="0"/>
        <v>0.60611928737412857</v>
      </c>
      <c r="G20" s="229">
        <f t="shared" si="2"/>
        <v>0.19717090069284066</v>
      </c>
      <c r="H20" s="336">
        <v>2582</v>
      </c>
      <c r="I20" s="336">
        <v>3464</v>
      </c>
      <c r="J20" s="360">
        <v>41027</v>
      </c>
      <c r="K20" s="230">
        <f t="shared" si="1"/>
        <v>-7.0083184115687119E-2</v>
      </c>
      <c r="L20" s="332">
        <v>44119</v>
      </c>
      <c r="M20" s="53"/>
      <c r="N20" s="112"/>
      <c r="O20" s="124"/>
      <c r="R20" s="112"/>
    </row>
    <row r="21" spans="2:21" ht="20.25" customHeight="1" x14ac:dyDescent="0.25">
      <c r="B21" s="406"/>
      <c r="C21" s="404" t="s">
        <v>33</v>
      </c>
      <c r="D21" s="407"/>
      <c r="E21" s="361">
        <f>SUM(E13:E20)</f>
        <v>16971</v>
      </c>
      <c r="F21" s="227">
        <f t="shared" si="0"/>
        <v>-6.7219962625041221E-2</v>
      </c>
      <c r="G21" s="222">
        <f t="shared" si="2"/>
        <v>-5.1585673251656021E-3</v>
      </c>
      <c r="H21" s="337">
        <f>SUM(H13:H20)</f>
        <v>18194</v>
      </c>
      <c r="I21" s="337">
        <f>SUM(I13:I20)</f>
        <v>17059</v>
      </c>
      <c r="J21" s="361">
        <f>SUM(J13:J20)</f>
        <v>176803</v>
      </c>
      <c r="K21" s="219">
        <f t="shared" si="1"/>
        <v>3.1522753792298713E-2</v>
      </c>
      <c r="L21" s="341">
        <f>SUM(L13:L20)</f>
        <v>171400</v>
      </c>
      <c r="M21" s="53"/>
      <c r="N21" s="112"/>
      <c r="R21" s="112"/>
    </row>
    <row r="22" spans="2:21" ht="20.25" customHeight="1" x14ac:dyDescent="0.25">
      <c r="B22" s="58"/>
      <c r="C22" s="59"/>
      <c r="D22" s="52" t="s">
        <v>19</v>
      </c>
      <c r="E22" s="359">
        <v>0</v>
      </c>
      <c r="F22" s="224" t="e">
        <f t="shared" si="0"/>
        <v>#DIV/0!</v>
      </c>
      <c r="G22" s="218" t="e">
        <f t="shared" si="2"/>
        <v>#DIV/0!</v>
      </c>
      <c r="H22" s="335">
        <v>0</v>
      </c>
      <c r="I22" s="335">
        <v>0</v>
      </c>
      <c r="J22" s="359">
        <v>0</v>
      </c>
      <c r="K22" s="226">
        <f t="shared" si="1"/>
        <v>-1</v>
      </c>
      <c r="L22" s="333">
        <v>7192</v>
      </c>
      <c r="M22" s="53"/>
      <c r="N22" s="112"/>
      <c r="R22" s="112"/>
    </row>
    <row r="23" spans="2:21" ht="20.25" customHeight="1" x14ac:dyDescent="0.25">
      <c r="B23" s="58"/>
      <c r="C23" s="60"/>
      <c r="D23" s="55" t="s">
        <v>174</v>
      </c>
      <c r="E23" s="358">
        <v>3461</v>
      </c>
      <c r="F23" s="227">
        <f t="shared" si="0"/>
        <v>0.24720720720720721</v>
      </c>
      <c r="G23" s="218">
        <f t="shared" si="2"/>
        <v>0.22992181947405829</v>
      </c>
      <c r="H23" s="334">
        <v>2775</v>
      </c>
      <c r="I23" s="334">
        <v>2814</v>
      </c>
      <c r="J23" s="358">
        <v>26945</v>
      </c>
      <c r="K23" s="219">
        <f t="shared" si="1"/>
        <v>0.28597336896864411</v>
      </c>
      <c r="L23" s="331">
        <v>20953</v>
      </c>
      <c r="M23" s="53"/>
      <c r="N23" s="112"/>
      <c r="R23" s="112"/>
    </row>
    <row r="24" spans="2:21" ht="20.25" customHeight="1" x14ac:dyDescent="0.25">
      <c r="B24" s="58"/>
      <c r="C24" s="54"/>
      <c r="D24" s="57" t="s">
        <v>20</v>
      </c>
      <c r="E24" s="360">
        <v>9020</v>
      </c>
      <c r="F24" s="228">
        <f t="shared" si="0"/>
        <v>1.23156853043048</v>
      </c>
      <c r="G24" s="229">
        <f t="shared" si="2"/>
        <v>6.0802069857697282E-2</v>
      </c>
      <c r="H24" s="336">
        <v>4042</v>
      </c>
      <c r="I24" s="336">
        <v>8503</v>
      </c>
      <c r="J24" s="360">
        <v>76149</v>
      </c>
      <c r="K24" s="230">
        <f t="shared" si="1"/>
        <v>-1.4851805374076614E-2</v>
      </c>
      <c r="L24" s="332">
        <v>77297</v>
      </c>
      <c r="M24" s="53"/>
      <c r="N24" s="111"/>
      <c r="O24" s="51"/>
      <c r="P24" s="51"/>
      <c r="Q24" s="51"/>
      <c r="R24" s="111"/>
      <c r="S24" s="51"/>
      <c r="T24" s="51"/>
      <c r="U24" s="51"/>
    </row>
    <row r="25" spans="2:21" ht="20.25" customHeight="1" x14ac:dyDescent="0.25">
      <c r="B25" s="58"/>
      <c r="C25" s="404" t="s">
        <v>34</v>
      </c>
      <c r="D25" s="407"/>
      <c r="E25" s="361">
        <f>SUM(E22:E24)</f>
        <v>12481</v>
      </c>
      <c r="F25" s="227">
        <f t="shared" si="0"/>
        <v>0.83086401642951446</v>
      </c>
      <c r="G25" s="218">
        <f t="shared" si="2"/>
        <v>0.10285411328090484</v>
      </c>
      <c r="H25" s="337">
        <f>SUM(H22:H24)</f>
        <v>6817</v>
      </c>
      <c r="I25" s="337">
        <f>SUM(I22:I24)</f>
        <v>11317</v>
      </c>
      <c r="J25" s="361">
        <f>SUM(J22:J24)</f>
        <v>103094</v>
      </c>
      <c r="K25" s="219">
        <f t="shared" si="1"/>
        <v>-2.2268166385311355E-2</v>
      </c>
      <c r="L25" s="340">
        <f>SUM(L22:L24)</f>
        <v>105442</v>
      </c>
      <c r="M25" s="53"/>
      <c r="N25" s="112"/>
      <c r="R25" s="112"/>
    </row>
    <row r="26" spans="2:21" ht="20.25" customHeight="1" x14ac:dyDescent="0.25">
      <c r="B26" s="58"/>
      <c r="C26" s="60"/>
      <c r="D26" s="61" t="s">
        <v>35</v>
      </c>
      <c r="E26" s="359">
        <v>521</v>
      </c>
      <c r="F26" s="224">
        <f t="shared" si="0"/>
        <v>3.1683168316831684E-2</v>
      </c>
      <c r="G26" s="225">
        <f t="shared" si="2"/>
        <v>6.1099796334012219E-2</v>
      </c>
      <c r="H26" s="335">
        <v>505</v>
      </c>
      <c r="I26" s="335">
        <v>491</v>
      </c>
      <c r="J26" s="359">
        <v>4852</v>
      </c>
      <c r="K26" s="226">
        <f t="shared" si="1"/>
        <v>0.11848778238819732</v>
      </c>
      <c r="L26" s="333">
        <v>4338</v>
      </c>
      <c r="M26" s="53"/>
      <c r="N26" s="47"/>
    </row>
    <row r="27" spans="2:21" ht="20.25" customHeight="1" x14ac:dyDescent="0.25">
      <c r="B27" s="58"/>
      <c r="C27" s="62"/>
      <c r="D27" s="63" t="s">
        <v>14</v>
      </c>
      <c r="E27" s="360">
        <v>2206</v>
      </c>
      <c r="F27" s="228">
        <f t="shared" si="0"/>
        <v>0.23171412618648798</v>
      </c>
      <c r="G27" s="229">
        <f t="shared" si="2"/>
        <v>6.9316529326223952E-2</v>
      </c>
      <c r="H27" s="336">
        <v>1791</v>
      </c>
      <c r="I27" s="336">
        <v>2063</v>
      </c>
      <c r="J27" s="360">
        <v>18867</v>
      </c>
      <c r="K27" s="230">
        <f>(J27-L27)/L27</f>
        <v>-5.290899051252447E-2</v>
      </c>
      <c r="L27" s="332">
        <v>19921</v>
      </c>
      <c r="M27" s="53"/>
      <c r="N27" s="47"/>
    </row>
    <row r="28" spans="2:21" ht="20.25" customHeight="1" x14ac:dyDescent="0.25">
      <c r="B28" s="58"/>
      <c r="C28" s="404" t="s">
        <v>36</v>
      </c>
      <c r="D28" s="407"/>
      <c r="E28" s="358">
        <f>SUM(E26:E27)</f>
        <v>2727</v>
      </c>
      <c r="F28" s="227">
        <f t="shared" si="0"/>
        <v>0.18771777003484322</v>
      </c>
      <c r="G28" s="218">
        <f t="shared" si="2"/>
        <v>6.773688332028191E-2</v>
      </c>
      <c r="H28" s="334">
        <f>SUM(H26:H27)</f>
        <v>2296</v>
      </c>
      <c r="I28" s="334">
        <f>SUM(I26:I27)</f>
        <v>2554</v>
      </c>
      <c r="J28" s="358">
        <f>SUM(J26:J27)</f>
        <v>23719</v>
      </c>
      <c r="K28" s="219">
        <f t="shared" si="1"/>
        <v>-2.225977987551012E-2</v>
      </c>
      <c r="L28" s="331">
        <f>SUM(L26:L27)</f>
        <v>24259</v>
      </c>
      <c r="M28" s="53"/>
      <c r="N28" s="112"/>
    </row>
    <row r="29" spans="2:21" ht="20.25" customHeight="1" x14ac:dyDescent="0.25">
      <c r="B29" s="130"/>
      <c r="C29" s="131"/>
      <c r="D29" s="52" t="s">
        <v>116</v>
      </c>
      <c r="E29" s="359">
        <v>540</v>
      </c>
      <c r="F29" s="231">
        <f t="shared" si="0"/>
        <v>0.45161290322580644</v>
      </c>
      <c r="G29" s="225">
        <f t="shared" si="2"/>
        <v>0.50417827298050144</v>
      </c>
      <c r="H29" s="335">
        <v>372</v>
      </c>
      <c r="I29" s="335">
        <v>359</v>
      </c>
      <c r="J29" s="359">
        <v>4679</v>
      </c>
      <c r="K29" s="226">
        <f t="shared" ref="K29:K37" si="7">(J29-L29)/L29</f>
        <v>-0.26776212832550861</v>
      </c>
      <c r="L29" s="333">
        <v>6390</v>
      </c>
      <c r="M29" s="53"/>
      <c r="N29" s="112"/>
    </row>
    <row r="30" spans="2:21" ht="20.25" customHeight="1" x14ac:dyDescent="0.25">
      <c r="B30" s="130"/>
      <c r="C30" s="155"/>
      <c r="D30" s="55" t="s">
        <v>118</v>
      </c>
      <c r="E30" s="358">
        <v>3082</v>
      </c>
      <c r="F30" s="217">
        <f t="shared" si="0"/>
        <v>-0.49632292858310184</v>
      </c>
      <c r="G30" s="218">
        <f t="shared" si="2"/>
        <v>7.6493188962626621E-2</v>
      </c>
      <c r="H30" s="334">
        <v>6119</v>
      </c>
      <c r="I30" s="334">
        <v>2863</v>
      </c>
      <c r="J30" s="358">
        <v>38097</v>
      </c>
      <c r="K30" s="219">
        <f t="shared" si="7"/>
        <v>-0.22760172738884496</v>
      </c>
      <c r="L30" s="331">
        <v>49323</v>
      </c>
      <c r="M30" s="53"/>
      <c r="N30" s="112"/>
    </row>
    <row r="31" spans="2:21" ht="20.25" customHeight="1" x14ac:dyDescent="0.25">
      <c r="B31" s="130"/>
      <c r="C31" s="60"/>
      <c r="D31" s="55" t="s">
        <v>132</v>
      </c>
      <c r="E31" s="358">
        <v>2818</v>
      </c>
      <c r="F31" s="227">
        <f t="shared" si="0"/>
        <v>9.4370370370370367</v>
      </c>
      <c r="G31" s="218">
        <f t="shared" si="2"/>
        <v>0.27108705457825893</v>
      </c>
      <c r="H31" s="334">
        <v>270</v>
      </c>
      <c r="I31" s="334">
        <v>2217</v>
      </c>
      <c r="J31" s="358">
        <v>19693</v>
      </c>
      <c r="K31" s="219">
        <f t="shared" si="7"/>
        <v>3.3300351802990327</v>
      </c>
      <c r="L31" s="331">
        <v>4548</v>
      </c>
      <c r="M31" s="53"/>
      <c r="N31" s="112"/>
    </row>
    <row r="32" spans="2:21" ht="20.25" customHeight="1" x14ac:dyDescent="0.25">
      <c r="B32" s="130"/>
      <c r="C32" s="60"/>
      <c r="D32" s="55" t="s">
        <v>188</v>
      </c>
      <c r="E32" s="254">
        <v>493</v>
      </c>
      <c r="F32" s="227">
        <f t="shared" si="0"/>
        <v>9.4893617021276597</v>
      </c>
      <c r="G32" s="218">
        <f t="shared" si="2"/>
        <v>0.48493975903614456</v>
      </c>
      <c r="H32" s="327">
        <v>47</v>
      </c>
      <c r="I32" s="334">
        <v>332</v>
      </c>
      <c r="J32" s="254">
        <v>5022</v>
      </c>
      <c r="K32" s="219">
        <f t="shared" si="7"/>
        <v>105.85106382978724</v>
      </c>
      <c r="L32" s="220">
        <v>47</v>
      </c>
      <c r="M32" s="53"/>
      <c r="N32" s="112"/>
    </row>
    <row r="33" spans="2:17" ht="20.25" customHeight="1" x14ac:dyDescent="0.25">
      <c r="B33" s="130"/>
      <c r="C33" s="60"/>
      <c r="D33" s="55" t="s">
        <v>163</v>
      </c>
      <c r="E33" s="358">
        <v>2413</v>
      </c>
      <c r="F33" s="227">
        <f t="shared" si="0"/>
        <v>-0.16562932226832641</v>
      </c>
      <c r="G33" s="218">
        <f t="shared" si="2"/>
        <v>2.768313458262351E-2</v>
      </c>
      <c r="H33" s="334">
        <v>2892</v>
      </c>
      <c r="I33" s="334">
        <v>2348</v>
      </c>
      <c r="J33" s="358">
        <v>23088</v>
      </c>
      <c r="K33" s="219">
        <f t="shared" si="7"/>
        <v>-0.31621501554864506</v>
      </c>
      <c r="L33" s="331">
        <v>33765</v>
      </c>
      <c r="M33" s="53"/>
      <c r="N33" s="112"/>
    </row>
    <row r="34" spans="2:17" ht="20.25" customHeight="1" x14ac:dyDescent="0.25">
      <c r="B34" s="130"/>
      <c r="C34" s="60"/>
      <c r="D34" s="57" t="s">
        <v>150</v>
      </c>
      <c r="E34" s="360">
        <v>1945</v>
      </c>
      <c r="F34" s="260">
        <f t="shared" si="0"/>
        <v>6.4004376367614885E-2</v>
      </c>
      <c r="G34" s="229">
        <f t="shared" si="2"/>
        <v>0.27373935821872952</v>
      </c>
      <c r="H34" s="336">
        <v>1828</v>
      </c>
      <c r="I34" s="336">
        <v>1527</v>
      </c>
      <c r="J34" s="360">
        <v>17646</v>
      </c>
      <c r="K34" s="230">
        <f t="shared" si="7"/>
        <v>-2.2653004707837165E-2</v>
      </c>
      <c r="L34" s="332">
        <v>18055</v>
      </c>
      <c r="M34" s="53"/>
      <c r="N34" s="112"/>
    </row>
    <row r="35" spans="2:17" ht="20.25" customHeight="1" x14ac:dyDescent="0.25">
      <c r="B35" s="130"/>
      <c r="C35" s="404" t="s">
        <v>64</v>
      </c>
      <c r="D35" s="407"/>
      <c r="E35" s="361">
        <f>SUM(E29:E34)</f>
        <v>11291</v>
      </c>
      <c r="F35" s="227">
        <f t="shared" si="0"/>
        <v>-2.0558639833448994E-2</v>
      </c>
      <c r="G35" s="218">
        <f t="shared" si="2"/>
        <v>0.17053701015965167</v>
      </c>
      <c r="H35" s="337">
        <f>SUM(H29:H34)</f>
        <v>11528</v>
      </c>
      <c r="I35" s="337">
        <f>SUM(I29:I34)</f>
        <v>9646</v>
      </c>
      <c r="J35" s="361">
        <f>SUM(J29:J34)</f>
        <v>108225</v>
      </c>
      <c r="K35" s="219">
        <f t="shared" si="7"/>
        <v>-3.4808433219178085E-2</v>
      </c>
      <c r="L35" s="341">
        <f>SUM(L29:L34)</f>
        <v>112128</v>
      </c>
      <c r="M35" s="53"/>
      <c r="N35" s="112"/>
    </row>
    <row r="36" spans="2:17" ht="20.25" customHeight="1" x14ac:dyDescent="0.25">
      <c r="B36" s="162" t="s">
        <v>37</v>
      </c>
      <c r="C36" s="158"/>
      <c r="D36" s="159"/>
      <c r="E36" s="257">
        <f>SUM(E12,E21,E25,E28,E35)</f>
        <v>60736</v>
      </c>
      <c r="F36" s="160">
        <f t="shared" si="0"/>
        <v>5.0559562728106133E-2</v>
      </c>
      <c r="G36" s="161">
        <f t="shared" si="2"/>
        <v>6.7228958003865746E-2</v>
      </c>
      <c r="H36" s="342">
        <f>SUM(H12,H21,H25,H28,H35)</f>
        <v>57813</v>
      </c>
      <c r="I36" s="338">
        <f>SUM(I12,I21,I25,I28,I35)</f>
        <v>56910</v>
      </c>
      <c r="J36" s="365">
        <f>SUM(J12,J21,J25,J28,J35)</f>
        <v>557571</v>
      </c>
      <c r="K36" s="161">
        <f t="shared" si="7"/>
        <v>-6.862717257853021E-2</v>
      </c>
      <c r="L36" s="366">
        <f>SUM(L12,L21,L25,L28,L35)</f>
        <v>598655</v>
      </c>
      <c r="M36" s="53"/>
      <c r="N36" s="112"/>
      <c r="O36" s="112"/>
      <c r="P36" s="112"/>
      <c r="Q36" s="112"/>
    </row>
    <row r="37" spans="2:17" ht="20.25" customHeight="1" x14ac:dyDescent="0.25">
      <c r="B37" s="64" t="s">
        <v>38</v>
      </c>
      <c r="C37" s="65"/>
      <c r="D37" s="269"/>
      <c r="E37" s="266">
        <v>286588</v>
      </c>
      <c r="F37" s="267">
        <f t="shared" si="0"/>
        <v>0.13875423176565951</v>
      </c>
      <c r="G37" s="268">
        <f t="shared" si="2"/>
        <v>-4.6749799596198814E-2</v>
      </c>
      <c r="H37" s="362">
        <v>251668</v>
      </c>
      <c r="I37" s="296">
        <v>300643</v>
      </c>
      <c r="J37" s="266">
        <v>2693802</v>
      </c>
      <c r="K37" s="268">
        <f t="shared" si="7"/>
        <v>2.0026786190987737E-2</v>
      </c>
      <c r="L37" s="368">
        <v>2640913</v>
      </c>
      <c r="M37" s="367"/>
      <c r="N37" s="112"/>
      <c r="O37" s="112"/>
      <c r="P37" s="112"/>
      <c r="Q37" s="112"/>
    </row>
    <row r="38" spans="2:17" s="68" customFormat="1" ht="4.5" customHeight="1" x14ac:dyDescent="0.25">
      <c r="B38" s="186"/>
      <c r="C38" s="66"/>
      <c r="D38" s="66"/>
      <c r="E38" s="258"/>
      <c r="F38" s="316"/>
      <c r="G38" s="316"/>
      <c r="H38" s="47"/>
      <c r="I38" s="297"/>
      <c r="J38" s="329"/>
      <c r="K38" s="330"/>
      <c r="L38" s="47"/>
      <c r="M38" s="67"/>
      <c r="N38" s="47"/>
    </row>
    <row r="39" spans="2:17" ht="30" customHeight="1" thickBot="1" x14ac:dyDescent="0.3">
      <c r="B39" s="64" t="s">
        <v>39</v>
      </c>
      <c r="C39" s="69"/>
      <c r="D39" s="65"/>
      <c r="E39" s="317">
        <f>SUM(E36:E37)</f>
        <v>347324</v>
      </c>
      <c r="F39" s="318">
        <f>(E39-H39)/H39</f>
        <v>0.1222789121141524</v>
      </c>
      <c r="G39" s="319">
        <f>(E39-I39)/I39</f>
        <v>-2.860834617525234E-2</v>
      </c>
      <c r="H39" s="363">
        <f>SUM(H36:H37)</f>
        <v>309481</v>
      </c>
      <c r="I39" s="347">
        <f>SUM(I36:I37)</f>
        <v>357553</v>
      </c>
      <c r="J39" s="317">
        <f>SUM(J36:J37)</f>
        <v>3251373</v>
      </c>
      <c r="K39" s="319">
        <f t="shared" si="1"/>
        <v>3.6440043857699543E-3</v>
      </c>
      <c r="L39" s="363">
        <f>SUM(L36:L37)</f>
        <v>3239568</v>
      </c>
      <c r="M39" s="367"/>
      <c r="N39" s="112"/>
    </row>
    <row r="40" spans="2:17" ht="11.25" customHeight="1" x14ac:dyDescent="0.25">
      <c r="B40" s="70"/>
      <c r="C40" s="70"/>
      <c r="D40" s="70"/>
      <c r="L40" s="53"/>
    </row>
    <row r="41" spans="2:17" s="103" customFormat="1" ht="18.75" customHeight="1" thickBot="1" x14ac:dyDescent="0.3">
      <c r="B41" s="232" t="s">
        <v>161</v>
      </c>
      <c r="D41" s="233"/>
      <c r="F41" s="234"/>
      <c r="G41" s="235"/>
      <c r="K41" s="235"/>
    </row>
    <row r="42" spans="2:17" s="109" customFormat="1" ht="21" customHeight="1" x14ac:dyDescent="0.25">
      <c r="B42" s="419" t="s">
        <v>40</v>
      </c>
      <c r="C42" s="420"/>
      <c r="D42" s="420"/>
      <c r="E42" s="236" t="s">
        <v>193</v>
      </c>
      <c r="F42" s="423"/>
      <c r="G42" s="424"/>
      <c r="H42" s="308" t="s">
        <v>165</v>
      </c>
      <c r="I42" s="310" t="s">
        <v>194</v>
      </c>
      <c r="J42" s="425" t="s">
        <v>223</v>
      </c>
      <c r="K42" s="237"/>
      <c r="L42" s="417" t="s">
        <v>224</v>
      </c>
    </row>
    <row r="43" spans="2:17" s="109" customFormat="1" ht="21" customHeight="1" x14ac:dyDescent="0.25">
      <c r="B43" s="421"/>
      <c r="C43" s="422"/>
      <c r="D43" s="422"/>
      <c r="E43" s="238" t="s">
        <v>79</v>
      </c>
      <c r="F43" s="239" t="s">
        <v>41</v>
      </c>
      <c r="G43" s="240" t="s">
        <v>42</v>
      </c>
      <c r="H43" s="309" t="str">
        <f>E43</f>
        <v>10월</v>
      </c>
      <c r="I43" s="311" t="s">
        <v>78</v>
      </c>
      <c r="J43" s="426"/>
      <c r="K43" s="240" t="s">
        <v>43</v>
      </c>
      <c r="L43" s="418"/>
    </row>
    <row r="44" spans="2:17" s="106" customFormat="1" ht="21" customHeight="1" x14ac:dyDescent="0.25">
      <c r="B44" s="408" t="s">
        <v>23</v>
      </c>
      <c r="C44" s="409"/>
      <c r="D44" s="409"/>
      <c r="E44" s="343">
        <f>SUM(E45:E51)</f>
        <v>4534</v>
      </c>
      <c r="F44" s="241">
        <f t="shared" ref="F44:F51" si="8">(E44-H44)/H44</f>
        <v>-0.3265002970885324</v>
      </c>
      <c r="G44" s="242">
        <f t="shared" ref="G44:G51" si="9">(E44-I44)/I44</f>
        <v>1.7504488330341114E-2</v>
      </c>
      <c r="H44" s="343">
        <f>SUM(H45:H51)</f>
        <v>6732</v>
      </c>
      <c r="I44" s="343">
        <f>SUM(I45:I51)</f>
        <v>4456</v>
      </c>
      <c r="J44" s="325">
        <f>SUM(J45:J51)</f>
        <v>47697</v>
      </c>
      <c r="K44" s="243">
        <f t="shared" ref="K44:K50" si="10">(J44-L44)/L44</f>
        <v>-0.12458474809580619</v>
      </c>
      <c r="L44" s="281">
        <f>SUM(L45:L51)</f>
        <v>54485</v>
      </c>
      <c r="M44" s="105"/>
    </row>
    <row r="45" spans="2:17" s="106" customFormat="1" ht="18" customHeight="1" x14ac:dyDescent="0.25">
      <c r="B45" s="245"/>
      <c r="C45" s="393" t="s">
        <v>24</v>
      </c>
      <c r="D45" s="391"/>
      <c r="E45" s="344">
        <v>492</v>
      </c>
      <c r="F45" s="246">
        <f t="shared" si="8"/>
        <v>1.1674008810572687</v>
      </c>
      <c r="G45" s="247">
        <f t="shared" si="9"/>
        <v>0.38202247191011235</v>
      </c>
      <c r="H45" s="344">
        <v>227</v>
      </c>
      <c r="I45" s="344">
        <v>356</v>
      </c>
      <c r="J45" s="323">
        <v>5455</v>
      </c>
      <c r="K45" s="249">
        <f t="shared" si="10"/>
        <v>2.6726896292113684E-2</v>
      </c>
      <c r="L45" s="344">
        <v>5313</v>
      </c>
      <c r="M45" s="105"/>
    </row>
    <row r="46" spans="2:17" s="106" customFormat="1" ht="18" customHeight="1" x14ac:dyDescent="0.25">
      <c r="B46" s="245"/>
      <c r="C46" s="393" t="s">
        <v>69</v>
      </c>
      <c r="D46" s="391"/>
      <c r="E46" s="344">
        <v>0</v>
      </c>
      <c r="F46" s="246" t="e">
        <f t="shared" si="8"/>
        <v>#DIV/0!</v>
      </c>
      <c r="G46" s="247" t="e">
        <f t="shared" si="9"/>
        <v>#DIV/0!</v>
      </c>
      <c r="H46" s="344">
        <v>0</v>
      </c>
      <c r="I46" s="344">
        <v>0</v>
      </c>
      <c r="J46" s="323">
        <v>0</v>
      </c>
      <c r="K46" s="249" t="e">
        <f t="shared" si="10"/>
        <v>#DIV/0!</v>
      </c>
      <c r="L46" s="344">
        <v>0</v>
      </c>
      <c r="M46" s="105"/>
    </row>
    <row r="47" spans="2:17" s="106" customFormat="1" ht="18" customHeight="1" x14ac:dyDescent="0.25">
      <c r="B47" s="245"/>
      <c r="C47" s="393" t="s">
        <v>25</v>
      </c>
      <c r="D47" s="391"/>
      <c r="E47" s="344">
        <v>214</v>
      </c>
      <c r="F47" s="246">
        <f t="shared" si="8"/>
        <v>-0.65814696485623003</v>
      </c>
      <c r="G47" s="247">
        <f t="shared" si="9"/>
        <v>1.4218009478672985E-2</v>
      </c>
      <c r="H47" s="344">
        <v>626</v>
      </c>
      <c r="I47" s="344">
        <v>211</v>
      </c>
      <c r="J47" s="323">
        <v>3498</v>
      </c>
      <c r="K47" s="249">
        <f t="shared" si="10"/>
        <v>-0.36097917427840703</v>
      </c>
      <c r="L47" s="344">
        <v>5474</v>
      </c>
      <c r="M47" s="105"/>
    </row>
    <row r="48" spans="2:17" s="106" customFormat="1" ht="18" customHeight="1" x14ac:dyDescent="0.25">
      <c r="B48" s="245"/>
      <c r="C48" s="393" t="s">
        <v>27</v>
      </c>
      <c r="D48" s="391"/>
      <c r="E48" s="344">
        <v>1442</v>
      </c>
      <c r="F48" s="246">
        <f t="shared" si="8"/>
        <v>-0.54032515141855275</v>
      </c>
      <c r="G48" s="247">
        <f t="shared" si="9"/>
        <v>-0.1769406392694064</v>
      </c>
      <c r="H48" s="344">
        <v>3137</v>
      </c>
      <c r="I48" s="344">
        <v>1752</v>
      </c>
      <c r="J48" s="323">
        <v>18373</v>
      </c>
      <c r="K48" s="249">
        <f t="shared" si="10"/>
        <v>-0.18120237087214225</v>
      </c>
      <c r="L48" s="344">
        <v>22439</v>
      </c>
      <c r="M48" s="105"/>
    </row>
    <row r="49" spans="2:13" s="106" customFormat="1" ht="18" customHeight="1" x14ac:dyDescent="0.25">
      <c r="B49" s="245"/>
      <c r="C49" s="393" t="s">
        <v>114</v>
      </c>
      <c r="D49" s="391"/>
      <c r="E49" s="344">
        <v>124</v>
      </c>
      <c r="F49" s="246">
        <f t="shared" si="8"/>
        <v>-0.53030303030303028</v>
      </c>
      <c r="G49" s="247">
        <f t="shared" si="9"/>
        <v>-0.2392638036809816</v>
      </c>
      <c r="H49" s="344">
        <v>264</v>
      </c>
      <c r="I49" s="344">
        <v>163</v>
      </c>
      <c r="J49" s="323">
        <v>1716</v>
      </c>
      <c r="K49" s="249">
        <f t="shared" si="10"/>
        <v>-6.5868263473053898E-2</v>
      </c>
      <c r="L49" s="344">
        <v>1837</v>
      </c>
      <c r="M49" s="105"/>
    </row>
    <row r="50" spans="2:13" s="106" customFormat="1" ht="18" customHeight="1" x14ac:dyDescent="0.25">
      <c r="B50" s="245"/>
      <c r="C50" s="428" t="s">
        <v>60</v>
      </c>
      <c r="D50" s="429"/>
      <c r="E50" s="345">
        <v>677</v>
      </c>
      <c r="F50" s="282">
        <f t="shared" si="8"/>
        <v>-0.40352422907488988</v>
      </c>
      <c r="G50" s="272">
        <f t="shared" si="9"/>
        <v>-0.29405630865484877</v>
      </c>
      <c r="H50" s="345">
        <v>1135</v>
      </c>
      <c r="I50" s="345">
        <v>959</v>
      </c>
      <c r="J50" s="326">
        <v>8370</v>
      </c>
      <c r="K50" s="283">
        <f t="shared" si="10"/>
        <v>-0.33792121499762695</v>
      </c>
      <c r="L50" s="345">
        <v>12642</v>
      </c>
      <c r="M50" s="105"/>
    </row>
    <row r="51" spans="2:13" s="106" customFormat="1" ht="18" customHeight="1" thickBot="1" x14ac:dyDescent="0.3">
      <c r="B51" s="250"/>
      <c r="C51" s="416" t="s">
        <v>8</v>
      </c>
      <c r="D51" s="414"/>
      <c r="E51" s="346">
        <v>1585</v>
      </c>
      <c r="F51" s="303">
        <f t="shared" si="8"/>
        <v>0.18019359642591215</v>
      </c>
      <c r="G51" s="223">
        <f t="shared" si="9"/>
        <v>0.56157635467980294</v>
      </c>
      <c r="H51" s="346">
        <v>1343</v>
      </c>
      <c r="I51" s="346">
        <v>1015</v>
      </c>
      <c r="J51" s="324">
        <v>10285</v>
      </c>
      <c r="K51" s="306">
        <f>(J51-L51)/L51</f>
        <v>0.51696165191740417</v>
      </c>
      <c r="L51" s="373">
        <v>6780</v>
      </c>
      <c r="M51" s="105"/>
    </row>
    <row r="52" spans="2:13" s="106" customFormat="1" ht="4.5" customHeight="1" thickBot="1" x14ac:dyDescent="0.3">
      <c r="B52" s="104"/>
      <c r="C52" s="107"/>
      <c r="D52" s="108"/>
      <c r="E52" s="280"/>
      <c r="F52" s="304"/>
      <c r="G52" s="304"/>
      <c r="H52" s="280"/>
      <c r="I52" s="280"/>
      <c r="J52" s="280"/>
      <c r="K52" s="304"/>
      <c r="L52" s="374"/>
      <c r="M52" s="105"/>
    </row>
    <row r="53" spans="2:13" s="106" customFormat="1" ht="21" customHeight="1" x14ac:dyDescent="0.25">
      <c r="B53" s="408" t="s">
        <v>75</v>
      </c>
      <c r="C53" s="409"/>
      <c r="D53" s="409"/>
      <c r="E53" s="281">
        <f>SUM(E54:E61)</f>
        <v>9162</v>
      </c>
      <c r="F53" s="305">
        <f t="shared" ref="F53:F61" si="11">(E53-H53)/H53</f>
        <v>0.6124604012671595</v>
      </c>
      <c r="G53" s="243">
        <f t="shared" ref="G53:G61" si="12">(E53-I53)/I53</f>
        <v>0.16313317252761203</v>
      </c>
      <c r="H53" s="322">
        <f>SUM(H54:H61)</f>
        <v>5682</v>
      </c>
      <c r="I53" s="281">
        <f>SUM(I54:I61)</f>
        <v>7877</v>
      </c>
      <c r="J53" s="322">
        <f>SUM(J54:J61)</f>
        <v>60087</v>
      </c>
      <c r="K53" s="243">
        <f t="shared" ref="K53:K61" si="13">(J53-L53)/L53</f>
        <v>0.73081576218458344</v>
      </c>
      <c r="L53" s="369">
        <f>SUM(L54:L61)</f>
        <v>34716</v>
      </c>
      <c r="M53" s="105"/>
    </row>
    <row r="54" spans="2:13" s="106" customFormat="1" ht="18" customHeight="1" x14ac:dyDescent="0.25">
      <c r="B54" s="245"/>
      <c r="C54" s="393" t="s">
        <v>69</v>
      </c>
      <c r="D54" s="391"/>
      <c r="E54" s="344">
        <v>0</v>
      </c>
      <c r="F54" s="246" t="e">
        <f t="shared" si="11"/>
        <v>#DIV/0!</v>
      </c>
      <c r="G54" s="298" t="e">
        <f t="shared" si="12"/>
        <v>#DIV/0!</v>
      </c>
      <c r="H54" s="344">
        <v>0</v>
      </c>
      <c r="I54" s="344">
        <v>0</v>
      </c>
      <c r="J54" s="323">
        <v>0</v>
      </c>
      <c r="K54" s="249">
        <f t="shared" si="13"/>
        <v>-1</v>
      </c>
      <c r="L54" s="344">
        <v>1</v>
      </c>
      <c r="M54" s="105"/>
    </row>
    <row r="55" spans="2:13" s="106" customFormat="1" ht="18" customHeight="1" x14ac:dyDescent="0.25">
      <c r="B55" s="245"/>
      <c r="C55" s="391" t="s">
        <v>221</v>
      </c>
      <c r="D55" s="427"/>
      <c r="E55" s="323">
        <v>3667</v>
      </c>
      <c r="F55" s="246" t="e">
        <f t="shared" si="11"/>
        <v>#DIV/0!</v>
      </c>
      <c r="G55" s="298"/>
      <c r="H55" s="344">
        <v>0</v>
      </c>
      <c r="I55" s="323">
        <v>2652</v>
      </c>
      <c r="J55" s="323">
        <v>6327</v>
      </c>
      <c r="K55" s="249" t="e">
        <f t="shared" si="13"/>
        <v>#DIV/0!</v>
      </c>
      <c r="L55" s="344">
        <v>0</v>
      </c>
      <c r="M55" s="105"/>
    </row>
    <row r="56" spans="2:13" s="106" customFormat="1" ht="18" customHeight="1" x14ac:dyDescent="0.25">
      <c r="B56" s="245"/>
      <c r="C56" s="391" t="s">
        <v>173</v>
      </c>
      <c r="D56" s="427"/>
      <c r="E56" s="323">
        <v>2169</v>
      </c>
      <c r="F56" s="246">
        <f t="shared" si="11"/>
        <v>-0.42664551942902457</v>
      </c>
      <c r="G56" s="247">
        <f t="shared" si="12"/>
        <v>-9.474123539232053E-2</v>
      </c>
      <c r="H56" s="344">
        <v>3783</v>
      </c>
      <c r="I56" s="323">
        <v>2396</v>
      </c>
      <c r="J56" s="323">
        <v>24768</v>
      </c>
      <c r="K56" s="249">
        <f t="shared" si="13"/>
        <v>0.28664935064935065</v>
      </c>
      <c r="L56" s="344">
        <v>19250</v>
      </c>
      <c r="M56" s="105"/>
    </row>
    <row r="57" spans="2:13" s="106" customFormat="1" ht="18" customHeight="1" x14ac:dyDescent="0.25">
      <c r="B57" s="245"/>
      <c r="C57" s="391" t="s">
        <v>179</v>
      </c>
      <c r="D57" s="392"/>
      <c r="E57" s="323">
        <v>187</v>
      </c>
      <c r="F57" s="246">
        <f t="shared" si="11"/>
        <v>-0.65111940298507465</v>
      </c>
      <c r="G57" s="247">
        <f t="shared" si="12"/>
        <v>0.1130952380952381</v>
      </c>
      <c r="H57" s="344">
        <v>536</v>
      </c>
      <c r="I57" s="323">
        <v>168</v>
      </c>
      <c r="J57" s="323">
        <v>2416</v>
      </c>
      <c r="K57" s="249">
        <f t="shared" si="13"/>
        <v>1.8490566037735849</v>
      </c>
      <c r="L57" s="344">
        <v>848</v>
      </c>
      <c r="M57" s="105"/>
    </row>
    <row r="58" spans="2:13" s="106" customFormat="1" ht="18" customHeight="1" x14ac:dyDescent="0.25">
      <c r="B58" s="245"/>
      <c r="C58" s="391" t="s">
        <v>188</v>
      </c>
      <c r="D58" s="392"/>
      <c r="E58" s="323">
        <v>493</v>
      </c>
      <c r="F58" s="246">
        <f t="shared" si="11"/>
        <v>9.4893617021276597</v>
      </c>
      <c r="G58" s="247">
        <f t="shared" si="12"/>
        <v>0.48493975903614456</v>
      </c>
      <c r="H58" s="344">
        <v>47</v>
      </c>
      <c r="I58" s="323">
        <v>332</v>
      </c>
      <c r="J58" s="323">
        <v>5022</v>
      </c>
      <c r="K58" s="249">
        <f t="shared" si="13"/>
        <v>105.85106382978724</v>
      </c>
      <c r="L58" s="248">
        <v>47</v>
      </c>
      <c r="M58" s="105"/>
    </row>
    <row r="59" spans="2:13" s="106" customFormat="1" ht="18" customHeight="1" x14ac:dyDescent="0.25">
      <c r="B59" s="245"/>
      <c r="C59" s="391" t="s">
        <v>163</v>
      </c>
      <c r="D59" s="392"/>
      <c r="E59" s="323">
        <v>173</v>
      </c>
      <c r="F59" s="246" t="e">
        <f t="shared" si="11"/>
        <v>#DIV/0!</v>
      </c>
      <c r="G59" s="247">
        <f t="shared" si="12"/>
        <v>-0.27916666666666667</v>
      </c>
      <c r="H59" s="323">
        <v>0</v>
      </c>
      <c r="I59" s="323">
        <v>240</v>
      </c>
      <c r="J59" s="323">
        <v>2618</v>
      </c>
      <c r="K59" s="249" t="e">
        <f t="shared" si="13"/>
        <v>#DIV/0!</v>
      </c>
      <c r="L59" s="248">
        <v>0</v>
      </c>
      <c r="M59" s="105"/>
    </row>
    <row r="60" spans="2:13" s="106" customFormat="1" ht="18" customHeight="1" x14ac:dyDescent="0.25">
      <c r="B60" s="245"/>
      <c r="C60" s="393" t="s">
        <v>114</v>
      </c>
      <c r="D60" s="391"/>
      <c r="E60" s="323">
        <v>0</v>
      </c>
      <c r="F60" s="246" t="e">
        <f t="shared" si="11"/>
        <v>#DIV/0!</v>
      </c>
      <c r="G60" s="247" t="e">
        <f t="shared" si="12"/>
        <v>#DIV/0!</v>
      </c>
      <c r="H60" s="344">
        <v>0</v>
      </c>
      <c r="I60" s="323">
        <v>0</v>
      </c>
      <c r="J60" s="323">
        <v>0</v>
      </c>
      <c r="K60" s="249">
        <f t="shared" si="13"/>
        <v>-1</v>
      </c>
      <c r="L60" s="344">
        <v>1428</v>
      </c>
      <c r="M60" s="105"/>
    </row>
    <row r="61" spans="2:13" s="106" customFormat="1" ht="18" customHeight="1" x14ac:dyDescent="0.25">
      <c r="B61" s="250"/>
      <c r="C61" s="416" t="s">
        <v>12</v>
      </c>
      <c r="D61" s="414"/>
      <c r="E61" s="324">
        <v>2473</v>
      </c>
      <c r="F61" s="303">
        <f t="shared" si="11"/>
        <v>0.87917933130699089</v>
      </c>
      <c r="G61" s="223">
        <f t="shared" si="12"/>
        <v>0.18382000957395883</v>
      </c>
      <c r="H61" s="346">
        <v>1316</v>
      </c>
      <c r="I61" s="324">
        <v>2089</v>
      </c>
      <c r="J61" s="324">
        <v>18936</v>
      </c>
      <c r="K61" s="306">
        <f t="shared" si="13"/>
        <v>0.44087657890732002</v>
      </c>
      <c r="L61" s="345">
        <v>13142</v>
      </c>
      <c r="M61" s="105"/>
    </row>
    <row r="62" spans="2:13" s="106" customFormat="1" ht="4.5" customHeight="1" x14ac:dyDescent="0.25">
      <c r="B62" s="104"/>
      <c r="C62" s="107"/>
      <c r="D62" s="108"/>
      <c r="E62" s="280"/>
      <c r="F62" s="304"/>
      <c r="G62" s="304"/>
      <c r="H62" s="280"/>
      <c r="I62" s="280"/>
      <c r="J62" s="280"/>
      <c r="K62" s="304"/>
      <c r="L62" s="375"/>
      <c r="M62" s="105"/>
    </row>
    <row r="63" spans="2:13" s="106" customFormat="1" ht="21" customHeight="1" x14ac:dyDescent="0.25">
      <c r="B63" s="408" t="s">
        <v>159</v>
      </c>
      <c r="C63" s="409"/>
      <c r="D63" s="413"/>
      <c r="E63" s="320">
        <f>SUM(E64)</f>
        <v>1101</v>
      </c>
      <c r="F63" s="305">
        <f>(E63-H63)/H63</f>
        <v>0.17127659574468085</v>
      </c>
      <c r="G63" s="243">
        <f>(E63-I63)/I63</f>
        <v>1.662049861495845E-2</v>
      </c>
      <c r="H63" s="370">
        <f>SUM(H64)</f>
        <v>940</v>
      </c>
      <c r="I63" s="320">
        <f>I64</f>
        <v>1083</v>
      </c>
      <c r="J63" s="322">
        <f>SUM(J64)</f>
        <v>8622</v>
      </c>
      <c r="K63" s="243">
        <f>(J63-L63)/L63</f>
        <v>0.1744993870044953</v>
      </c>
      <c r="L63" s="244">
        <f>SUM(L64)</f>
        <v>7341</v>
      </c>
      <c r="M63" s="105"/>
    </row>
    <row r="64" spans="2:13" s="106" customFormat="1" ht="18" customHeight="1" x14ac:dyDescent="0.25">
      <c r="B64" s="252"/>
      <c r="C64" s="414" t="s">
        <v>125</v>
      </c>
      <c r="D64" s="415"/>
      <c r="E64" s="321">
        <v>1101</v>
      </c>
      <c r="F64" s="307">
        <f>(E64-H64)/H64</f>
        <v>0.17127659574468085</v>
      </c>
      <c r="G64" s="223">
        <f>(E64-I64)/I64</f>
        <v>1.662049861495845E-2</v>
      </c>
      <c r="H64" s="371">
        <v>940</v>
      </c>
      <c r="I64" s="321">
        <v>1083</v>
      </c>
      <c r="J64" s="324">
        <v>8622</v>
      </c>
      <c r="K64" s="306">
        <f>(J64-L64)/L64</f>
        <v>0.1744993870044953</v>
      </c>
      <c r="L64" s="251">
        <v>7341</v>
      </c>
      <c r="M64" s="105"/>
    </row>
    <row r="65" spans="2:13" s="106" customFormat="1" ht="4.5" customHeight="1" x14ac:dyDescent="0.25">
      <c r="B65" s="104"/>
      <c r="C65" s="107"/>
      <c r="D65" s="108"/>
      <c r="E65" s="280"/>
      <c r="F65" s="304"/>
      <c r="G65" s="304"/>
      <c r="H65" s="280"/>
      <c r="I65" s="280"/>
      <c r="J65" s="280"/>
      <c r="K65" s="304"/>
      <c r="L65" s="374"/>
      <c r="M65" s="105"/>
    </row>
    <row r="66" spans="2:13" s="70" customFormat="1" ht="26.25" customHeight="1" thickBot="1" x14ac:dyDescent="0.3">
      <c r="B66" s="410" t="s">
        <v>160</v>
      </c>
      <c r="C66" s="411"/>
      <c r="D66" s="412"/>
      <c r="E66" s="348">
        <f>SUM(E44,E53,E63)</f>
        <v>14797</v>
      </c>
      <c r="F66" s="350">
        <f>(E66-H66)/H66</f>
        <v>0.10805751085816984</v>
      </c>
      <c r="G66" s="226">
        <f>(E66-I66)/I66</f>
        <v>0.10293679189028027</v>
      </c>
      <c r="H66" s="372">
        <f>SUM(H44,H53,H63)</f>
        <v>13354</v>
      </c>
      <c r="I66" s="348">
        <f>SUM(I44,I53,I63)</f>
        <v>13416</v>
      </c>
      <c r="J66" s="348">
        <f>SUM(J44,J53,J63)</f>
        <v>116406</v>
      </c>
      <c r="K66" s="349">
        <f>(J66-L66)/L66</f>
        <v>0.20575500818296699</v>
      </c>
      <c r="L66" s="253">
        <f>SUM(L44,L53,L63)</f>
        <v>96542</v>
      </c>
    </row>
    <row r="67" spans="2:13" s="106" customFormat="1" ht="10.8" customHeight="1" x14ac:dyDescent="0.25">
      <c r="B67" s="104"/>
      <c r="C67" s="107"/>
      <c r="D67" s="108"/>
      <c r="E67" s="215"/>
      <c r="F67" s="216"/>
      <c r="G67" s="351"/>
      <c r="H67" s="328"/>
      <c r="I67" s="328"/>
      <c r="J67" s="215"/>
      <c r="K67" s="216"/>
      <c r="L67" s="215"/>
      <c r="M67" s="105"/>
    </row>
  </sheetData>
  <mergeCells count="36">
    <mergeCell ref="C58:D58"/>
    <mergeCell ref="C57:D57"/>
    <mergeCell ref="C51:D51"/>
    <mergeCell ref="C56:D56"/>
    <mergeCell ref="C50:D50"/>
    <mergeCell ref="B53:D53"/>
    <mergeCell ref="C54:D54"/>
    <mergeCell ref="C55:D55"/>
    <mergeCell ref="C47:D47"/>
    <mergeCell ref="L42:L43"/>
    <mergeCell ref="B42:D43"/>
    <mergeCell ref="C46:D46"/>
    <mergeCell ref="F42:G42"/>
    <mergeCell ref="J42:J43"/>
    <mergeCell ref="C45:D45"/>
    <mergeCell ref="B66:D66"/>
    <mergeCell ref="B63:D63"/>
    <mergeCell ref="C64:D64"/>
    <mergeCell ref="C61:D61"/>
    <mergeCell ref="C60:D60"/>
    <mergeCell ref="C59:D59"/>
    <mergeCell ref="C49:D49"/>
    <mergeCell ref="C48:D48"/>
    <mergeCell ref="B1:L1"/>
    <mergeCell ref="B3:D4"/>
    <mergeCell ref="J3:J4"/>
    <mergeCell ref="L3:L4"/>
    <mergeCell ref="C12:D12"/>
    <mergeCell ref="B5:B21"/>
    <mergeCell ref="C5:C11"/>
    <mergeCell ref="C28:D28"/>
    <mergeCell ref="C13:C20"/>
    <mergeCell ref="C25:D25"/>
    <mergeCell ref="C21:D21"/>
    <mergeCell ref="B44:D44"/>
    <mergeCell ref="C35:D35"/>
  </mergeCells>
  <phoneticPr fontId="2" type="noConversion"/>
  <printOptions horizontalCentered="1"/>
  <pageMargins left="0.62992125984251968" right="0.62992125984251968" top="0.62992125984251968" bottom="0.62992125984251968" header="0.39370078740157483" footer="0.39370078740157483"/>
  <pageSetup paperSize="9" scale="63" orientation="portrait" r:id="rId1"/>
  <headerFooter alignWithMargins="0"/>
  <ignoredErrors>
    <ignoredError sqref="K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  <pageSetUpPr fitToPage="1"/>
  </sheetPr>
  <dimension ref="A1:R681"/>
  <sheetViews>
    <sheetView showGridLines="0" topLeftCell="A10" zoomScale="98" zoomScaleNormal="98" zoomScaleSheetLayoutView="115" workbookViewId="0">
      <selection activeCell="F50" sqref="F50"/>
    </sheetView>
  </sheetViews>
  <sheetFormatPr defaultRowHeight="14.4" x14ac:dyDescent="0.25"/>
  <cols>
    <col min="1" max="1" width="0.59765625" style="20" customWidth="1"/>
    <col min="2" max="2" width="2.3984375" style="20" customWidth="1"/>
    <col min="3" max="3" width="7.796875" style="20" customWidth="1"/>
    <col min="4" max="15" width="6.59765625" style="19" customWidth="1"/>
    <col min="16" max="16" width="7.796875" style="20" customWidth="1"/>
    <col min="17" max="17" width="7.8984375" style="114" customWidth="1"/>
    <col min="18" max="18" width="9.09765625" customWidth="1"/>
  </cols>
  <sheetData>
    <row r="1" spans="1:17" s="16" customFormat="1" ht="13.2" x14ac:dyDescent="0.25">
      <c r="B1" s="16" t="s">
        <v>191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113"/>
    </row>
    <row r="2" spans="1:17" s="16" customFormat="1" ht="13.2" x14ac:dyDescent="0.2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13"/>
    </row>
    <row r="3" spans="1:17" ht="15" thickBot="1" x14ac:dyDescent="0.3">
      <c r="B3" s="18" t="s">
        <v>192</v>
      </c>
      <c r="C3" s="18"/>
    </row>
    <row r="4" spans="1:17" ht="12.75" customHeight="1" thickBot="1" x14ac:dyDescent="0.3">
      <c r="B4" s="446" t="s">
        <v>1</v>
      </c>
      <c r="C4" s="447"/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 t="s">
        <v>78</v>
      </c>
      <c r="M4" s="22">
        <v>10</v>
      </c>
      <c r="N4" s="22">
        <v>11</v>
      </c>
      <c r="O4" s="22">
        <v>12</v>
      </c>
      <c r="P4" s="23" t="s">
        <v>0</v>
      </c>
    </row>
    <row r="5" spans="1:17" ht="12.75" customHeight="1" x14ac:dyDescent="0.25">
      <c r="B5" s="430" t="s">
        <v>46</v>
      </c>
      <c r="C5" s="176" t="s">
        <v>22</v>
      </c>
      <c r="D5" s="76">
        <v>21</v>
      </c>
      <c r="E5" s="77">
        <v>26</v>
      </c>
      <c r="F5" s="76">
        <v>30</v>
      </c>
      <c r="G5" s="77">
        <v>22</v>
      </c>
      <c r="H5" s="77">
        <v>34</v>
      </c>
      <c r="I5" s="77">
        <v>29</v>
      </c>
      <c r="J5" s="77">
        <v>17</v>
      </c>
      <c r="K5" s="77">
        <v>4</v>
      </c>
      <c r="L5" s="79">
        <v>0</v>
      </c>
      <c r="M5" s="77">
        <v>0</v>
      </c>
      <c r="N5" s="77"/>
      <c r="O5" s="77"/>
      <c r="P5" s="78">
        <f t="shared" ref="P5:P13" si="0">SUM(D5:O5)</f>
        <v>183</v>
      </c>
      <c r="Q5"/>
    </row>
    <row r="6" spans="1:17" ht="12.75" customHeight="1" x14ac:dyDescent="0.25">
      <c r="B6" s="431"/>
      <c r="C6" s="176" t="s">
        <v>24</v>
      </c>
      <c r="D6" s="76">
        <v>5437</v>
      </c>
      <c r="E6" s="76">
        <v>3697</v>
      </c>
      <c r="F6" s="76">
        <v>3892</v>
      </c>
      <c r="G6" s="76">
        <v>6382</v>
      </c>
      <c r="H6" s="76">
        <v>4918</v>
      </c>
      <c r="I6" s="76">
        <v>3310</v>
      </c>
      <c r="J6" s="76">
        <v>4697</v>
      </c>
      <c r="K6" s="76">
        <v>2406</v>
      </c>
      <c r="L6" s="76">
        <v>4454</v>
      </c>
      <c r="M6" s="76">
        <v>5615</v>
      </c>
      <c r="N6" s="76"/>
      <c r="O6" s="76"/>
      <c r="P6" s="78">
        <f t="shared" si="0"/>
        <v>44808</v>
      </c>
      <c r="Q6"/>
    </row>
    <row r="7" spans="1:17" ht="12.75" customHeight="1" x14ac:dyDescent="0.25">
      <c r="B7" s="431"/>
      <c r="C7" s="176" t="s">
        <v>69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/>
      <c r="O7" s="76"/>
      <c r="P7" s="78">
        <f t="shared" si="0"/>
        <v>0</v>
      </c>
      <c r="Q7"/>
    </row>
    <row r="8" spans="1:17" ht="12.75" customHeight="1" x14ac:dyDescent="0.25">
      <c r="B8" s="431"/>
      <c r="C8" s="176" t="s">
        <v>3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/>
      <c r="O8" s="76"/>
      <c r="P8" s="78">
        <f t="shared" si="0"/>
        <v>0</v>
      </c>
      <c r="Q8"/>
    </row>
    <row r="9" spans="1:17" ht="12.75" customHeight="1" x14ac:dyDescent="0.25">
      <c r="B9" s="431"/>
      <c r="C9" s="178" t="s">
        <v>25</v>
      </c>
      <c r="D9" s="74">
        <v>2036</v>
      </c>
      <c r="E9" s="74">
        <v>4176</v>
      </c>
      <c r="F9" s="74">
        <v>4317</v>
      </c>
      <c r="G9" s="74">
        <v>4165</v>
      </c>
      <c r="H9" s="74">
        <v>3990</v>
      </c>
      <c r="I9" s="74">
        <v>4717</v>
      </c>
      <c r="J9" s="74">
        <v>4412</v>
      </c>
      <c r="K9" s="74">
        <v>4332</v>
      </c>
      <c r="L9" s="74">
        <v>4585</v>
      </c>
      <c r="M9" s="74">
        <v>3323</v>
      </c>
      <c r="N9" s="74"/>
      <c r="O9" s="74"/>
      <c r="P9" s="78">
        <f t="shared" si="0"/>
        <v>40053</v>
      </c>
      <c r="Q9"/>
    </row>
    <row r="10" spans="1:17" ht="12.75" customHeight="1" x14ac:dyDescent="0.25">
      <c r="B10" s="431"/>
      <c r="C10" s="176" t="s">
        <v>221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8</v>
      </c>
      <c r="L10" s="76">
        <v>2652</v>
      </c>
      <c r="M10" s="76">
        <v>3667</v>
      </c>
      <c r="N10" s="76"/>
      <c r="O10" s="76"/>
      <c r="P10" s="78">
        <f t="shared" ref="P10" si="1">SUM(D10:O10)</f>
        <v>6327</v>
      </c>
      <c r="Q10"/>
    </row>
    <row r="11" spans="1:17" ht="12.75" customHeight="1" x14ac:dyDescent="0.25">
      <c r="B11" s="431"/>
      <c r="C11" s="179" t="s">
        <v>27</v>
      </c>
      <c r="D11" s="72">
        <v>1806</v>
      </c>
      <c r="E11" s="72">
        <v>4490</v>
      </c>
      <c r="F11" s="72">
        <v>6663</v>
      </c>
      <c r="G11" s="72">
        <v>5192</v>
      </c>
      <c r="H11" s="72">
        <v>7602</v>
      </c>
      <c r="I11" s="72">
        <v>7919</v>
      </c>
      <c r="J11" s="72">
        <v>6777</v>
      </c>
      <c r="K11" s="72">
        <v>4606</v>
      </c>
      <c r="L11" s="72">
        <v>4643</v>
      </c>
      <c r="M11" s="72">
        <v>4661</v>
      </c>
      <c r="N11" s="72"/>
      <c r="O11" s="72"/>
      <c r="P11" s="78">
        <f t="shared" si="0"/>
        <v>54359</v>
      </c>
      <c r="Q11"/>
    </row>
    <row r="12" spans="1:17" ht="12.75" customHeight="1" thickBot="1" x14ac:dyDescent="0.3">
      <c r="B12" s="432"/>
      <c r="C12" s="181" t="s">
        <v>0</v>
      </c>
      <c r="D12" s="43">
        <f t="shared" ref="D12:O12" si="2">SUM(D5:D11)</f>
        <v>9300</v>
      </c>
      <c r="E12" s="43">
        <f t="shared" si="2"/>
        <v>12389</v>
      </c>
      <c r="F12" s="43">
        <f t="shared" si="2"/>
        <v>14902</v>
      </c>
      <c r="G12" s="43">
        <f t="shared" si="2"/>
        <v>15761</v>
      </c>
      <c r="H12" s="43">
        <f t="shared" si="2"/>
        <v>16544</v>
      </c>
      <c r="I12" s="43">
        <f t="shared" si="2"/>
        <v>15975</v>
      </c>
      <c r="J12" s="43">
        <f t="shared" si="2"/>
        <v>15903</v>
      </c>
      <c r="K12" s="43">
        <f t="shared" si="2"/>
        <v>11356</v>
      </c>
      <c r="L12" s="43">
        <f t="shared" si="2"/>
        <v>16334</v>
      </c>
      <c r="M12" s="43">
        <f t="shared" si="2"/>
        <v>17266</v>
      </c>
      <c r="N12" s="43">
        <f t="shared" si="2"/>
        <v>0</v>
      </c>
      <c r="O12" s="43">
        <f t="shared" si="2"/>
        <v>0</v>
      </c>
      <c r="P12" s="44">
        <f t="shared" si="0"/>
        <v>145730</v>
      </c>
      <c r="Q12"/>
    </row>
    <row r="13" spans="1:17" ht="12.75" customHeight="1" x14ac:dyDescent="0.25">
      <c r="B13" s="448" t="s">
        <v>45</v>
      </c>
      <c r="C13" s="175" t="s">
        <v>184</v>
      </c>
      <c r="D13" s="39">
        <v>3948</v>
      </c>
      <c r="E13" s="40">
        <v>3304</v>
      </c>
      <c r="F13" s="40">
        <v>3725</v>
      </c>
      <c r="G13" s="40">
        <v>3420</v>
      </c>
      <c r="H13" s="40">
        <v>4402</v>
      </c>
      <c r="I13" s="40">
        <v>4401</v>
      </c>
      <c r="J13" s="40">
        <v>4478</v>
      </c>
      <c r="K13" s="40">
        <v>3302</v>
      </c>
      <c r="L13" s="40">
        <v>4032</v>
      </c>
      <c r="M13" s="40">
        <v>3908</v>
      </c>
      <c r="N13" s="40"/>
      <c r="O13" s="40"/>
      <c r="P13" s="31">
        <f t="shared" si="0"/>
        <v>38920</v>
      </c>
      <c r="Q13"/>
    </row>
    <row r="14" spans="1:17" ht="12.75" customHeight="1" x14ac:dyDescent="0.25">
      <c r="B14" s="441"/>
      <c r="C14" s="177" t="s">
        <v>138</v>
      </c>
      <c r="D14" s="29">
        <v>925</v>
      </c>
      <c r="E14" s="30">
        <v>615</v>
      </c>
      <c r="F14" s="30">
        <v>673</v>
      </c>
      <c r="G14" s="30">
        <v>790</v>
      </c>
      <c r="H14" s="30">
        <v>776</v>
      </c>
      <c r="I14" s="30">
        <v>896</v>
      </c>
      <c r="J14" s="30">
        <v>548</v>
      </c>
      <c r="K14" s="30">
        <v>376</v>
      </c>
      <c r="L14" s="30">
        <v>673</v>
      </c>
      <c r="M14" s="30">
        <v>702</v>
      </c>
      <c r="N14" s="30"/>
      <c r="O14" s="30"/>
      <c r="P14" s="31">
        <f t="shared" ref="P14:P20" si="3">SUM(D14:O14)</f>
        <v>6974</v>
      </c>
      <c r="Q14"/>
    </row>
    <row r="15" spans="1:17" ht="12.75" customHeight="1" x14ac:dyDescent="0.25">
      <c r="B15" s="441"/>
      <c r="C15" s="182" t="s">
        <v>114</v>
      </c>
      <c r="D15" s="25">
        <v>479</v>
      </c>
      <c r="E15" s="26">
        <v>923</v>
      </c>
      <c r="F15" s="26">
        <v>759</v>
      </c>
      <c r="G15" s="26">
        <v>773</v>
      </c>
      <c r="H15" s="26">
        <v>759</v>
      </c>
      <c r="I15" s="26">
        <v>758</v>
      </c>
      <c r="J15" s="26">
        <v>648</v>
      </c>
      <c r="K15" s="26">
        <v>743</v>
      </c>
      <c r="L15" s="26">
        <v>632</v>
      </c>
      <c r="M15" s="26">
        <v>493</v>
      </c>
      <c r="N15" s="26"/>
      <c r="O15" s="26"/>
      <c r="P15" s="31">
        <f t="shared" si="3"/>
        <v>6967</v>
      </c>
      <c r="Q15"/>
    </row>
    <row r="16" spans="1:17" ht="12.75" customHeight="1" x14ac:dyDescent="0.25">
      <c r="A16"/>
      <c r="B16" s="441"/>
      <c r="C16" s="182" t="s">
        <v>60</v>
      </c>
      <c r="D16" s="25">
        <v>3619</v>
      </c>
      <c r="E16" s="26">
        <v>2684</v>
      </c>
      <c r="F16" s="26">
        <v>2740</v>
      </c>
      <c r="G16" s="26">
        <v>4175</v>
      </c>
      <c r="H16" s="26">
        <v>3722</v>
      </c>
      <c r="I16" s="26">
        <v>2864</v>
      </c>
      <c r="J16" s="26">
        <v>1548</v>
      </c>
      <c r="K16" s="26">
        <v>1962</v>
      </c>
      <c r="L16" s="26">
        <v>2452</v>
      </c>
      <c r="M16" s="26">
        <v>1729</v>
      </c>
      <c r="N16" s="26"/>
      <c r="O16" s="26"/>
      <c r="P16" s="31">
        <f t="shared" si="3"/>
        <v>27495</v>
      </c>
      <c r="Q16"/>
    </row>
    <row r="17" spans="1:17" ht="12.75" customHeight="1" x14ac:dyDescent="0.25">
      <c r="A17"/>
      <c r="B17" s="441"/>
      <c r="C17" s="182" t="s">
        <v>171</v>
      </c>
      <c r="D17" s="25">
        <v>376</v>
      </c>
      <c r="E17" s="26">
        <v>3995</v>
      </c>
      <c r="F17" s="26">
        <v>3208</v>
      </c>
      <c r="G17" s="26">
        <v>2963</v>
      </c>
      <c r="H17" s="26">
        <v>3054</v>
      </c>
      <c r="I17" s="26">
        <v>1507</v>
      </c>
      <c r="J17" s="26">
        <v>3102</v>
      </c>
      <c r="K17" s="26">
        <v>1998</v>
      </c>
      <c r="L17" s="26">
        <v>2396</v>
      </c>
      <c r="M17" s="26">
        <v>2169</v>
      </c>
      <c r="N17" s="26"/>
      <c r="O17" s="26"/>
      <c r="P17" s="31">
        <f t="shared" si="3"/>
        <v>24768</v>
      </c>
      <c r="Q17"/>
    </row>
    <row r="18" spans="1:17" ht="12.75" customHeight="1" x14ac:dyDescent="0.25">
      <c r="A18"/>
      <c r="B18" s="441"/>
      <c r="C18" s="182" t="s">
        <v>125</v>
      </c>
      <c r="D18" s="25">
        <v>319</v>
      </c>
      <c r="E18" s="26">
        <v>650</v>
      </c>
      <c r="F18" s="26">
        <v>445</v>
      </c>
      <c r="G18" s="26">
        <v>1294</v>
      </c>
      <c r="H18" s="26">
        <v>1270</v>
      </c>
      <c r="I18" s="26">
        <v>907</v>
      </c>
      <c r="J18" s="26">
        <v>573</v>
      </c>
      <c r="K18" s="26">
        <v>980</v>
      </c>
      <c r="L18" s="26">
        <v>1083</v>
      </c>
      <c r="M18" s="26">
        <v>1101</v>
      </c>
      <c r="N18" s="26"/>
      <c r="O18" s="26"/>
      <c r="P18" s="31">
        <f t="shared" si="3"/>
        <v>8622</v>
      </c>
      <c r="Q18"/>
    </row>
    <row r="19" spans="1:17" ht="12.75" customHeight="1" x14ac:dyDescent="0.25">
      <c r="A19"/>
      <c r="B19" s="441"/>
      <c r="C19" s="177" t="s">
        <v>8</v>
      </c>
      <c r="D19" s="29">
        <v>2159</v>
      </c>
      <c r="E19" s="30">
        <v>1680</v>
      </c>
      <c r="F19" s="30">
        <v>1860</v>
      </c>
      <c r="G19" s="30">
        <v>1997</v>
      </c>
      <c r="H19" s="30">
        <v>2477</v>
      </c>
      <c r="I19" s="30">
        <v>2913</v>
      </c>
      <c r="J19" s="30">
        <v>1361</v>
      </c>
      <c r="K19" s="30">
        <v>2534</v>
      </c>
      <c r="L19" s="30">
        <v>2327</v>
      </c>
      <c r="M19" s="30">
        <v>2722</v>
      </c>
      <c r="N19" s="30"/>
      <c r="O19" s="30"/>
      <c r="P19" s="31">
        <f t="shared" si="3"/>
        <v>22030</v>
      </c>
      <c r="Q19"/>
    </row>
    <row r="20" spans="1:17" ht="12.75" customHeight="1" x14ac:dyDescent="0.25">
      <c r="A20"/>
      <c r="B20" s="441"/>
      <c r="C20" s="177" t="s">
        <v>134</v>
      </c>
      <c r="D20" s="29">
        <v>4302</v>
      </c>
      <c r="E20" s="30">
        <v>3900</v>
      </c>
      <c r="F20" s="30">
        <v>4501</v>
      </c>
      <c r="G20" s="30">
        <v>4461</v>
      </c>
      <c r="H20" s="30">
        <v>4110</v>
      </c>
      <c r="I20" s="30">
        <v>5760</v>
      </c>
      <c r="J20" s="30">
        <v>3113</v>
      </c>
      <c r="K20" s="30">
        <v>3269</v>
      </c>
      <c r="L20" s="30">
        <v>3464</v>
      </c>
      <c r="M20" s="30">
        <v>4147</v>
      </c>
      <c r="N20" s="30"/>
      <c r="O20" s="30"/>
      <c r="P20" s="31">
        <f t="shared" si="3"/>
        <v>41027</v>
      </c>
      <c r="Q20"/>
    </row>
    <row r="21" spans="1:17" ht="12.75" customHeight="1" thickBot="1" x14ac:dyDescent="0.3">
      <c r="A21"/>
      <c r="B21" s="442"/>
      <c r="C21" s="183" t="s">
        <v>0</v>
      </c>
      <c r="D21" s="36">
        <f>SUM(D13:D20)</f>
        <v>16127</v>
      </c>
      <c r="E21" s="36">
        <f t="shared" ref="E21:O21" si="4">SUM(E13:E20)</f>
        <v>17751</v>
      </c>
      <c r="F21" s="36">
        <f t="shared" si="4"/>
        <v>17911</v>
      </c>
      <c r="G21" s="36">
        <f t="shared" si="4"/>
        <v>19873</v>
      </c>
      <c r="H21" s="36">
        <f t="shared" si="4"/>
        <v>20570</v>
      </c>
      <c r="I21" s="36">
        <f t="shared" si="4"/>
        <v>20006</v>
      </c>
      <c r="J21" s="36">
        <f t="shared" si="4"/>
        <v>15371</v>
      </c>
      <c r="K21" s="36">
        <f>SUM(K13:K20)</f>
        <v>15164</v>
      </c>
      <c r="L21" s="36">
        <f t="shared" si="4"/>
        <v>17059</v>
      </c>
      <c r="M21" s="36">
        <f t="shared" si="4"/>
        <v>16971</v>
      </c>
      <c r="N21" s="36">
        <f t="shared" si="4"/>
        <v>0</v>
      </c>
      <c r="O21" s="36">
        <f t="shared" si="4"/>
        <v>0</v>
      </c>
      <c r="P21" s="37">
        <f t="shared" ref="P21:P35" si="5">SUM(D21:O21)</f>
        <v>176803</v>
      </c>
      <c r="Q21"/>
    </row>
    <row r="22" spans="1:17" ht="12.6" customHeight="1" x14ac:dyDescent="0.25">
      <c r="A22"/>
      <c r="B22" s="430" t="s">
        <v>9</v>
      </c>
      <c r="C22" s="175" t="s">
        <v>11</v>
      </c>
      <c r="D22" s="39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/>
      <c r="O22" s="40"/>
      <c r="P22" s="41">
        <f t="shared" si="5"/>
        <v>0</v>
      </c>
      <c r="Q22"/>
    </row>
    <row r="23" spans="1:17" ht="12.6" customHeight="1" x14ac:dyDescent="0.25">
      <c r="A23"/>
      <c r="B23" s="431"/>
      <c r="C23" s="182" t="s">
        <v>172</v>
      </c>
      <c r="D23" s="25">
        <v>2810</v>
      </c>
      <c r="E23" s="26">
        <v>2057</v>
      </c>
      <c r="F23" s="26">
        <v>2096</v>
      </c>
      <c r="G23" s="26">
        <v>2387</v>
      </c>
      <c r="H23" s="26">
        <v>2914</v>
      </c>
      <c r="I23" s="26">
        <v>2451</v>
      </c>
      <c r="J23" s="26">
        <v>2998</v>
      </c>
      <c r="K23" s="26">
        <v>2957</v>
      </c>
      <c r="L23" s="26">
        <v>2814</v>
      </c>
      <c r="M23" s="26">
        <v>3461</v>
      </c>
      <c r="N23" s="26"/>
      <c r="O23" s="26"/>
      <c r="P23" s="27">
        <f t="shared" si="5"/>
        <v>26945</v>
      </c>
      <c r="Q23"/>
    </row>
    <row r="24" spans="1:17" ht="12.75" customHeight="1" x14ac:dyDescent="0.25">
      <c r="A24"/>
      <c r="B24" s="431"/>
      <c r="C24" s="182" t="s">
        <v>12</v>
      </c>
      <c r="D24" s="25">
        <v>5443</v>
      </c>
      <c r="E24" s="26">
        <v>7995</v>
      </c>
      <c r="F24" s="26">
        <v>4708</v>
      </c>
      <c r="G24" s="26">
        <v>8423</v>
      </c>
      <c r="H24" s="26">
        <v>8299</v>
      </c>
      <c r="I24" s="26">
        <v>6980</v>
      </c>
      <c r="J24" s="26">
        <v>8986</v>
      </c>
      <c r="K24" s="26">
        <v>7792</v>
      </c>
      <c r="L24" s="26">
        <v>8503</v>
      </c>
      <c r="M24" s="26">
        <v>9020</v>
      </c>
      <c r="N24" s="26"/>
      <c r="O24" s="26"/>
      <c r="P24" s="27">
        <f t="shared" si="5"/>
        <v>76149</v>
      </c>
      <c r="Q24"/>
    </row>
    <row r="25" spans="1:17" ht="12.75" customHeight="1" thickBot="1" x14ac:dyDescent="0.3">
      <c r="A25"/>
      <c r="B25" s="432"/>
      <c r="C25" s="181" t="s">
        <v>0</v>
      </c>
      <c r="D25" s="43">
        <f>SUM(D22:D24)</f>
        <v>8253</v>
      </c>
      <c r="E25" s="43">
        <f t="shared" ref="E25:O25" si="6">SUM(E22:E24)</f>
        <v>10052</v>
      </c>
      <c r="F25" s="43">
        <f t="shared" si="6"/>
        <v>6804</v>
      </c>
      <c r="G25" s="43">
        <f t="shared" si="6"/>
        <v>10810</v>
      </c>
      <c r="H25" s="43">
        <f t="shared" si="6"/>
        <v>11213</v>
      </c>
      <c r="I25" s="43">
        <f t="shared" si="6"/>
        <v>9431</v>
      </c>
      <c r="J25" s="43">
        <f t="shared" si="6"/>
        <v>11984</v>
      </c>
      <c r="K25" s="43">
        <f t="shared" si="6"/>
        <v>10749</v>
      </c>
      <c r="L25" s="43">
        <f t="shared" si="6"/>
        <v>11317</v>
      </c>
      <c r="M25" s="43">
        <f t="shared" si="6"/>
        <v>12481</v>
      </c>
      <c r="N25" s="43">
        <f t="shared" si="6"/>
        <v>0</v>
      </c>
      <c r="O25" s="43">
        <f t="shared" si="6"/>
        <v>0</v>
      </c>
      <c r="P25" s="44">
        <f t="shared" si="5"/>
        <v>103094</v>
      </c>
      <c r="Q25"/>
    </row>
    <row r="26" spans="1:17" ht="12.75" customHeight="1" x14ac:dyDescent="0.25">
      <c r="A26"/>
      <c r="B26" s="430" t="s">
        <v>10</v>
      </c>
      <c r="C26" s="175" t="s">
        <v>13</v>
      </c>
      <c r="D26" s="39">
        <v>388</v>
      </c>
      <c r="E26" s="40">
        <v>458</v>
      </c>
      <c r="F26" s="40">
        <v>529</v>
      </c>
      <c r="G26" s="40">
        <v>473</v>
      </c>
      <c r="H26" s="40">
        <v>529</v>
      </c>
      <c r="I26" s="40">
        <v>560</v>
      </c>
      <c r="J26" s="40">
        <v>503</v>
      </c>
      <c r="K26" s="40">
        <v>400</v>
      </c>
      <c r="L26" s="40">
        <v>491</v>
      </c>
      <c r="M26" s="40">
        <v>521</v>
      </c>
      <c r="N26" s="40"/>
      <c r="O26" s="40"/>
      <c r="P26" s="41">
        <f t="shared" si="5"/>
        <v>4852</v>
      </c>
      <c r="Q26"/>
    </row>
    <row r="27" spans="1:17" ht="12.75" customHeight="1" x14ac:dyDescent="0.25">
      <c r="A27"/>
      <c r="B27" s="431"/>
      <c r="C27" s="182" t="s">
        <v>14</v>
      </c>
      <c r="D27" s="25">
        <v>1557</v>
      </c>
      <c r="E27" s="26">
        <v>1344</v>
      </c>
      <c r="F27" s="26">
        <v>1906</v>
      </c>
      <c r="G27" s="26">
        <v>1208</v>
      </c>
      <c r="H27" s="26">
        <v>2283</v>
      </c>
      <c r="I27" s="26">
        <v>2330</v>
      </c>
      <c r="J27" s="26">
        <v>2032</v>
      </c>
      <c r="K27" s="26">
        <v>1938</v>
      </c>
      <c r="L27" s="26">
        <v>2063</v>
      </c>
      <c r="M27" s="26">
        <v>2206</v>
      </c>
      <c r="N27" s="26"/>
      <c r="O27" s="26"/>
      <c r="P27" s="27">
        <f t="shared" si="5"/>
        <v>18867</v>
      </c>
      <c r="Q27"/>
    </row>
    <row r="28" spans="1:17" ht="12.75" customHeight="1" thickBot="1" x14ac:dyDescent="0.3">
      <c r="A28"/>
      <c r="B28" s="432"/>
      <c r="C28" s="181" t="s">
        <v>0</v>
      </c>
      <c r="D28" s="43">
        <f>SUM(D26:D27)</f>
        <v>1945</v>
      </c>
      <c r="E28" s="43">
        <f t="shared" ref="E28:O28" si="7">SUM(E26:E27)</f>
        <v>1802</v>
      </c>
      <c r="F28" s="43">
        <f t="shared" si="7"/>
        <v>2435</v>
      </c>
      <c r="G28" s="43">
        <f t="shared" si="7"/>
        <v>1681</v>
      </c>
      <c r="H28" s="43">
        <f t="shared" si="7"/>
        <v>2812</v>
      </c>
      <c r="I28" s="43">
        <f t="shared" si="7"/>
        <v>2890</v>
      </c>
      <c r="J28" s="43">
        <f t="shared" si="7"/>
        <v>2535</v>
      </c>
      <c r="K28" s="43">
        <f t="shared" si="7"/>
        <v>2338</v>
      </c>
      <c r="L28" s="43">
        <f t="shared" si="7"/>
        <v>2554</v>
      </c>
      <c r="M28" s="43">
        <f t="shared" si="7"/>
        <v>2727</v>
      </c>
      <c r="N28" s="43">
        <f t="shared" si="7"/>
        <v>0</v>
      </c>
      <c r="O28" s="43">
        <f t="shared" si="7"/>
        <v>0</v>
      </c>
      <c r="P28" s="44">
        <f t="shared" si="5"/>
        <v>23719</v>
      </c>
      <c r="Q28"/>
    </row>
    <row r="29" spans="1:17" ht="12.75" customHeight="1" x14ac:dyDescent="0.25">
      <c r="A29"/>
      <c r="B29" s="449" t="s">
        <v>4</v>
      </c>
      <c r="C29" s="184" t="s">
        <v>116</v>
      </c>
      <c r="D29" s="156">
        <v>533</v>
      </c>
      <c r="E29" s="156">
        <v>565</v>
      </c>
      <c r="F29" s="156">
        <v>416</v>
      </c>
      <c r="G29" s="156">
        <v>489</v>
      </c>
      <c r="H29" s="156">
        <v>357</v>
      </c>
      <c r="I29" s="156">
        <v>488</v>
      </c>
      <c r="J29" s="156">
        <v>574</v>
      </c>
      <c r="K29" s="156">
        <v>358</v>
      </c>
      <c r="L29" s="156">
        <v>359</v>
      </c>
      <c r="M29" s="156">
        <v>540</v>
      </c>
      <c r="N29" s="156"/>
      <c r="O29" s="156"/>
      <c r="P29" s="157">
        <f t="shared" si="5"/>
        <v>4679</v>
      </c>
      <c r="Q29"/>
    </row>
    <row r="30" spans="1:17" ht="12.75" customHeight="1" x14ac:dyDescent="0.25">
      <c r="A30"/>
      <c r="B30" s="450"/>
      <c r="C30" s="185" t="s">
        <v>118</v>
      </c>
      <c r="D30" s="132">
        <v>5501</v>
      </c>
      <c r="E30" s="132">
        <v>4655</v>
      </c>
      <c r="F30" s="132">
        <v>3967</v>
      </c>
      <c r="G30" s="132">
        <v>4023</v>
      </c>
      <c r="H30" s="132">
        <v>4330</v>
      </c>
      <c r="I30" s="132">
        <v>3630</v>
      </c>
      <c r="J30" s="132">
        <v>2966</v>
      </c>
      <c r="K30" s="132">
        <v>3080</v>
      </c>
      <c r="L30" s="132">
        <v>2863</v>
      </c>
      <c r="M30" s="132">
        <v>3082</v>
      </c>
      <c r="N30" s="132"/>
      <c r="O30" s="132"/>
      <c r="P30" s="133">
        <f t="shared" si="5"/>
        <v>38097</v>
      </c>
      <c r="Q30"/>
    </row>
    <row r="31" spans="1:17" ht="12.75" customHeight="1" x14ac:dyDescent="0.25">
      <c r="A31"/>
      <c r="B31" s="450"/>
      <c r="C31" s="177" t="s">
        <v>132</v>
      </c>
      <c r="D31" s="29">
        <v>78</v>
      </c>
      <c r="E31" s="30">
        <v>1073</v>
      </c>
      <c r="F31" s="30">
        <v>1897</v>
      </c>
      <c r="G31" s="30">
        <v>2129</v>
      </c>
      <c r="H31" s="30">
        <v>2329</v>
      </c>
      <c r="I31" s="30">
        <v>2456</v>
      </c>
      <c r="J31" s="30">
        <v>2274</v>
      </c>
      <c r="K31" s="30">
        <v>2422</v>
      </c>
      <c r="L31" s="30">
        <v>2217</v>
      </c>
      <c r="M31" s="30">
        <v>2818</v>
      </c>
      <c r="N31" s="30"/>
      <c r="O31" s="30"/>
      <c r="P31" s="31">
        <f t="shared" si="5"/>
        <v>19693</v>
      </c>
      <c r="Q31"/>
    </row>
    <row r="32" spans="1:17" ht="12.75" customHeight="1" x14ac:dyDescent="0.25">
      <c r="A32"/>
      <c r="B32" s="450"/>
      <c r="C32" s="177" t="s">
        <v>187</v>
      </c>
      <c r="D32" s="29">
        <v>177</v>
      </c>
      <c r="E32" s="30">
        <v>349</v>
      </c>
      <c r="F32" s="30">
        <v>685</v>
      </c>
      <c r="G32" s="30">
        <v>796</v>
      </c>
      <c r="H32" s="30">
        <v>724</v>
      </c>
      <c r="I32" s="30">
        <v>670</v>
      </c>
      <c r="J32" s="30">
        <v>536</v>
      </c>
      <c r="K32" s="30">
        <v>260</v>
      </c>
      <c r="L32" s="30">
        <v>332</v>
      </c>
      <c r="M32" s="30">
        <v>493</v>
      </c>
      <c r="N32" s="30"/>
      <c r="O32" s="30"/>
      <c r="P32" s="31">
        <f t="shared" si="5"/>
        <v>5022</v>
      </c>
      <c r="Q32"/>
    </row>
    <row r="33" spans="1:18" ht="12.75" customHeight="1" x14ac:dyDescent="0.25">
      <c r="A33"/>
      <c r="B33" s="450"/>
      <c r="C33" s="177" t="s">
        <v>162</v>
      </c>
      <c r="D33" s="29">
        <v>2415</v>
      </c>
      <c r="E33" s="30">
        <v>2592</v>
      </c>
      <c r="F33" s="30">
        <v>1907</v>
      </c>
      <c r="G33" s="30">
        <v>2100</v>
      </c>
      <c r="H33" s="30">
        <v>2859</v>
      </c>
      <c r="I33" s="30">
        <v>2219</v>
      </c>
      <c r="J33" s="30">
        <v>2231</v>
      </c>
      <c r="K33" s="30">
        <v>2004</v>
      </c>
      <c r="L33" s="30">
        <v>2348</v>
      </c>
      <c r="M33" s="30">
        <v>2413</v>
      </c>
      <c r="N33" s="30"/>
      <c r="O33" s="30"/>
      <c r="P33" s="31">
        <f t="shared" si="5"/>
        <v>23088</v>
      </c>
      <c r="Q33"/>
    </row>
    <row r="34" spans="1:18" ht="12.75" customHeight="1" x14ac:dyDescent="0.25">
      <c r="A34"/>
      <c r="B34" s="450"/>
      <c r="C34" s="177" t="s">
        <v>149</v>
      </c>
      <c r="D34" s="29">
        <v>1876</v>
      </c>
      <c r="E34" s="30">
        <v>1782</v>
      </c>
      <c r="F34" s="30">
        <v>1959</v>
      </c>
      <c r="G34" s="30">
        <v>1753</v>
      </c>
      <c r="H34" s="30">
        <v>1635</v>
      </c>
      <c r="I34" s="30">
        <v>1745</v>
      </c>
      <c r="J34" s="30">
        <v>1931</v>
      </c>
      <c r="K34" s="30">
        <v>1493</v>
      </c>
      <c r="L34" s="30">
        <v>1527</v>
      </c>
      <c r="M34" s="30">
        <v>1945</v>
      </c>
      <c r="N34" s="30"/>
      <c r="O34" s="30"/>
      <c r="P34" s="31">
        <f t="shared" si="5"/>
        <v>17646</v>
      </c>
      <c r="Q34"/>
    </row>
    <row r="35" spans="1:18" ht="12.75" customHeight="1" thickBot="1" x14ac:dyDescent="0.3">
      <c r="A35"/>
      <c r="B35" s="451"/>
      <c r="C35" s="42" t="s">
        <v>0</v>
      </c>
      <c r="D35" s="43">
        <f>SUM(D29:D34)</f>
        <v>10580</v>
      </c>
      <c r="E35" s="43">
        <f t="shared" ref="E35:O35" si="8">SUM(E29:E34)</f>
        <v>11016</v>
      </c>
      <c r="F35" s="43">
        <f t="shared" si="8"/>
        <v>10831</v>
      </c>
      <c r="G35" s="43">
        <f t="shared" si="8"/>
        <v>11290</v>
      </c>
      <c r="H35" s="43">
        <f t="shared" si="8"/>
        <v>12234</v>
      </c>
      <c r="I35" s="43">
        <f t="shared" si="8"/>
        <v>11208</v>
      </c>
      <c r="J35" s="43">
        <f t="shared" si="8"/>
        <v>10512</v>
      </c>
      <c r="K35" s="43">
        <f t="shared" si="8"/>
        <v>9617</v>
      </c>
      <c r="L35" s="43">
        <f t="shared" si="8"/>
        <v>9646</v>
      </c>
      <c r="M35" s="43">
        <f t="shared" si="8"/>
        <v>11291</v>
      </c>
      <c r="N35" s="43">
        <f t="shared" si="8"/>
        <v>0</v>
      </c>
      <c r="O35" s="43">
        <f t="shared" si="8"/>
        <v>0</v>
      </c>
      <c r="P35" s="301">
        <f t="shared" si="5"/>
        <v>108225</v>
      </c>
      <c r="Q35"/>
    </row>
    <row r="36" spans="1:18" ht="12.75" customHeight="1" thickBot="1" x14ac:dyDescent="0.3">
      <c r="A36"/>
      <c r="B36" s="433" t="s">
        <v>2</v>
      </c>
      <c r="C36" s="434"/>
      <c r="D36" s="45">
        <f>SUM(D12,D21,D25,D28,D35)</f>
        <v>46205</v>
      </c>
      <c r="E36" s="45">
        <f t="shared" ref="E36:P36" si="9">SUM(E12,E21,E25,E28,E35)</f>
        <v>53010</v>
      </c>
      <c r="F36" s="45">
        <f t="shared" si="9"/>
        <v>52883</v>
      </c>
      <c r="G36" s="45">
        <f t="shared" si="9"/>
        <v>59415</v>
      </c>
      <c r="H36" s="45">
        <f t="shared" si="9"/>
        <v>63373</v>
      </c>
      <c r="I36" s="45">
        <f t="shared" si="9"/>
        <v>59510</v>
      </c>
      <c r="J36" s="45">
        <f>SUM(J12,J21,J25,J28,J35)</f>
        <v>56305</v>
      </c>
      <c r="K36" s="45">
        <f>SUM(K12,K21,K25,K28,K35)</f>
        <v>49224</v>
      </c>
      <c r="L36" s="45">
        <f t="shared" si="9"/>
        <v>56910</v>
      </c>
      <c r="M36" s="45">
        <f t="shared" si="9"/>
        <v>60736</v>
      </c>
      <c r="N36" s="45">
        <f t="shared" si="9"/>
        <v>0</v>
      </c>
      <c r="O36" s="45">
        <f t="shared" si="9"/>
        <v>0</v>
      </c>
      <c r="P36" s="302">
        <f t="shared" si="9"/>
        <v>557571</v>
      </c>
      <c r="Q36"/>
    </row>
    <row r="37" spans="1:18" ht="4.5" customHeight="1" x14ac:dyDescent="0.25">
      <c r="A37"/>
      <c r="J37" s="116"/>
      <c r="Q37"/>
    </row>
    <row r="38" spans="1:18" ht="9.6" customHeight="1" x14ac:dyDescent="0.25">
      <c r="A38"/>
      <c r="B38" s="82" t="s">
        <v>24</v>
      </c>
      <c r="C38" s="83"/>
      <c r="D38" s="84">
        <f>SUM(D39:D41)</f>
        <v>5437</v>
      </c>
      <c r="E38" s="84">
        <f t="shared" ref="E38:P38" si="10">SUM(E39:E41)</f>
        <v>3697</v>
      </c>
      <c r="F38" s="84">
        <f t="shared" si="10"/>
        <v>3892</v>
      </c>
      <c r="G38" s="84">
        <f t="shared" si="10"/>
        <v>6382</v>
      </c>
      <c r="H38" s="84">
        <f t="shared" si="10"/>
        <v>4918</v>
      </c>
      <c r="I38" s="84">
        <f t="shared" si="10"/>
        <v>3310</v>
      </c>
      <c r="J38" s="84">
        <f t="shared" si="10"/>
        <v>4697</v>
      </c>
      <c r="K38" s="84">
        <f t="shared" si="10"/>
        <v>2406</v>
      </c>
      <c r="L38" s="84">
        <f t="shared" si="10"/>
        <v>4454</v>
      </c>
      <c r="M38" s="84">
        <f t="shared" si="10"/>
        <v>5615</v>
      </c>
      <c r="N38" s="84">
        <f t="shared" si="10"/>
        <v>0</v>
      </c>
      <c r="O38" s="84">
        <f t="shared" si="10"/>
        <v>0</v>
      </c>
      <c r="P38" s="84">
        <f t="shared" si="10"/>
        <v>44808</v>
      </c>
      <c r="R38" s="284"/>
    </row>
    <row r="39" spans="1:18" ht="9.75" customHeight="1" x14ac:dyDescent="0.25">
      <c r="A39"/>
      <c r="B39" s="86"/>
      <c r="C39" s="87" t="s">
        <v>154</v>
      </c>
      <c r="D39" s="100">
        <v>4366</v>
      </c>
      <c r="E39" s="100">
        <v>2846</v>
      </c>
      <c r="F39" s="88">
        <v>2956</v>
      </c>
      <c r="G39" s="101">
        <v>5143</v>
      </c>
      <c r="H39" s="88">
        <v>3911</v>
      </c>
      <c r="I39" s="98">
        <v>2578</v>
      </c>
      <c r="J39" s="99">
        <v>3927</v>
      </c>
      <c r="K39" s="91">
        <v>1911</v>
      </c>
      <c r="L39" s="91">
        <v>3967</v>
      </c>
      <c r="M39" s="91">
        <v>5008</v>
      </c>
      <c r="N39" s="91"/>
      <c r="O39" s="91"/>
      <c r="P39" s="279">
        <f>SUM(D39:O39)</f>
        <v>36613</v>
      </c>
    </row>
    <row r="40" spans="1:18" ht="9.75" customHeight="1" x14ac:dyDescent="0.25">
      <c r="A40"/>
      <c r="B40" s="86"/>
      <c r="C40" s="87" t="s">
        <v>155</v>
      </c>
      <c r="D40" s="88">
        <v>733</v>
      </c>
      <c r="E40" s="88">
        <v>519</v>
      </c>
      <c r="F40" s="88">
        <v>534</v>
      </c>
      <c r="G40" s="88">
        <v>687</v>
      </c>
      <c r="H40" s="88">
        <v>636</v>
      </c>
      <c r="I40" s="88">
        <v>565</v>
      </c>
      <c r="J40" s="88">
        <v>562</v>
      </c>
      <c r="K40" s="88">
        <v>371</v>
      </c>
      <c r="L40" s="88">
        <v>356</v>
      </c>
      <c r="M40" s="88">
        <v>492</v>
      </c>
      <c r="N40" s="88"/>
      <c r="O40" s="88"/>
      <c r="P40" s="279">
        <f>SUM(D40:O40)</f>
        <v>5455</v>
      </c>
    </row>
    <row r="41" spans="1:18" ht="9.75" customHeight="1" x14ac:dyDescent="0.25">
      <c r="A41"/>
      <c r="B41" s="90"/>
      <c r="C41" s="87" t="s">
        <v>177</v>
      </c>
      <c r="D41" s="88">
        <v>338</v>
      </c>
      <c r="E41" s="88">
        <v>332</v>
      </c>
      <c r="F41" s="88">
        <v>402</v>
      </c>
      <c r="G41" s="88">
        <v>552</v>
      </c>
      <c r="H41" s="88">
        <v>371</v>
      </c>
      <c r="I41" s="88">
        <v>167</v>
      </c>
      <c r="J41" s="88">
        <v>208</v>
      </c>
      <c r="K41" s="88">
        <v>124</v>
      </c>
      <c r="L41" s="88">
        <v>131</v>
      </c>
      <c r="M41" s="88">
        <v>115</v>
      </c>
      <c r="N41" s="88"/>
      <c r="O41" s="88"/>
      <c r="P41" s="279">
        <f>SUM(D41:O41)</f>
        <v>2740</v>
      </c>
    </row>
    <row r="42" spans="1:18" ht="4.5" customHeight="1" x14ac:dyDescent="0.25">
      <c r="A42"/>
      <c r="J42" s="116"/>
      <c r="Q42"/>
    </row>
    <row r="43" spans="1:18" ht="10.199999999999999" customHeight="1" x14ac:dyDescent="0.25">
      <c r="A43"/>
      <c r="B43" s="93" t="s">
        <v>25</v>
      </c>
      <c r="C43" s="94"/>
      <c r="D43" s="84">
        <f t="shared" ref="D43:P43" si="11">SUM(D44:D46)</f>
        <v>2036</v>
      </c>
      <c r="E43" s="84">
        <f t="shared" si="11"/>
        <v>4176</v>
      </c>
      <c r="F43" s="84">
        <f t="shared" si="11"/>
        <v>4317</v>
      </c>
      <c r="G43" s="84">
        <f t="shared" si="11"/>
        <v>4165</v>
      </c>
      <c r="H43" s="84">
        <f t="shared" si="11"/>
        <v>3990</v>
      </c>
      <c r="I43" s="84">
        <f t="shared" si="11"/>
        <v>4717</v>
      </c>
      <c r="J43" s="84">
        <f t="shared" si="11"/>
        <v>4412</v>
      </c>
      <c r="K43" s="84">
        <f t="shared" si="11"/>
        <v>4332</v>
      </c>
      <c r="L43" s="84">
        <f t="shared" si="11"/>
        <v>4585</v>
      </c>
      <c r="M43" s="84">
        <f t="shared" si="11"/>
        <v>3323</v>
      </c>
      <c r="N43" s="84">
        <f t="shared" si="11"/>
        <v>0</v>
      </c>
      <c r="O43" s="84">
        <f t="shared" si="11"/>
        <v>0</v>
      </c>
      <c r="P43" s="84">
        <f t="shared" si="11"/>
        <v>40053</v>
      </c>
    </row>
    <row r="44" spans="1:18" ht="9.9" customHeight="1" x14ac:dyDescent="0.25">
      <c r="A44"/>
      <c r="B44" s="86"/>
      <c r="C44" s="87" t="s">
        <v>53</v>
      </c>
      <c r="D44" s="123">
        <v>141</v>
      </c>
      <c r="E44" s="123">
        <v>1199</v>
      </c>
      <c r="F44" s="123">
        <v>1054</v>
      </c>
      <c r="G44" s="88">
        <v>1509</v>
      </c>
      <c r="H44" s="88">
        <v>1677</v>
      </c>
      <c r="I44" s="88">
        <v>827</v>
      </c>
      <c r="J44" s="88">
        <v>1511</v>
      </c>
      <c r="K44" s="88">
        <v>1513</v>
      </c>
      <c r="L44" s="88">
        <v>1963</v>
      </c>
      <c r="M44" s="88">
        <v>1829</v>
      </c>
      <c r="N44" s="88"/>
      <c r="O44" s="88"/>
      <c r="P44" s="278">
        <f>SUM(D44:O44)</f>
        <v>13223</v>
      </c>
    </row>
    <row r="45" spans="1:18" ht="9.9" customHeight="1" x14ac:dyDescent="0.25">
      <c r="A45"/>
      <c r="B45" s="86"/>
      <c r="C45" s="87" t="s">
        <v>140</v>
      </c>
      <c r="D45" s="88">
        <v>147</v>
      </c>
      <c r="E45" s="88">
        <v>491</v>
      </c>
      <c r="F45" s="88">
        <v>634</v>
      </c>
      <c r="G45" s="88">
        <v>414</v>
      </c>
      <c r="H45" s="88">
        <v>117</v>
      </c>
      <c r="I45" s="88">
        <v>629</v>
      </c>
      <c r="J45" s="88">
        <v>285</v>
      </c>
      <c r="K45" s="88">
        <v>356</v>
      </c>
      <c r="L45" s="88">
        <v>211</v>
      </c>
      <c r="M45" s="88">
        <v>214</v>
      </c>
      <c r="N45" s="88"/>
      <c r="O45" s="88"/>
      <c r="P45" s="278">
        <f>SUM(D45:O45)</f>
        <v>3498</v>
      </c>
    </row>
    <row r="46" spans="1:18" ht="9.9" customHeight="1" x14ac:dyDescent="0.25">
      <c r="A46"/>
      <c r="B46" s="90"/>
      <c r="C46" s="87" t="s">
        <v>137</v>
      </c>
      <c r="D46" s="88">
        <v>1748</v>
      </c>
      <c r="E46" s="88">
        <v>2486</v>
      </c>
      <c r="F46" s="88">
        <v>2629</v>
      </c>
      <c r="G46" s="88">
        <v>2242</v>
      </c>
      <c r="H46" s="88">
        <v>2196</v>
      </c>
      <c r="I46" s="88">
        <v>3261</v>
      </c>
      <c r="J46" s="88">
        <v>2616</v>
      </c>
      <c r="K46" s="88">
        <v>2463</v>
      </c>
      <c r="L46" s="88">
        <v>2411</v>
      </c>
      <c r="M46" s="88">
        <v>1280</v>
      </c>
      <c r="N46" s="88"/>
      <c r="O46" s="88"/>
      <c r="P46" s="278">
        <f>SUM(D46:O46)</f>
        <v>23332</v>
      </c>
    </row>
    <row r="47" spans="1:18" ht="6" customHeight="1" x14ac:dyDescent="0.25">
      <c r="A47"/>
      <c r="B47" s="102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7"/>
    </row>
    <row r="48" spans="1:18" ht="11.4" customHeight="1" x14ac:dyDescent="0.25">
      <c r="A48"/>
      <c r="B48" s="82" t="s">
        <v>27</v>
      </c>
      <c r="C48" s="83"/>
      <c r="D48" s="84">
        <f>SUM(D49:D50)</f>
        <v>1806</v>
      </c>
      <c r="E48" s="84">
        <f t="shared" ref="E48:P48" si="12">SUM(E49:E50)</f>
        <v>4490</v>
      </c>
      <c r="F48" s="84">
        <f t="shared" si="12"/>
        <v>6663</v>
      </c>
      <c r="G48" s="84">
        <f t="shared" si="12"/>
        <v>5192</v>
      </c>
      <c r="H48" s="84">
        <f t="shared" si="12"/>
        <v>7602</v>
      </c>
      <c r="I48" s="84">
        <f t="shared" si="12"/>
        <v>7919</v>
      </c>
      <c r="J48" s="84">
        <f t="shared" si="12"/>
        <v>6777</v>
      </c>
      <c r="K48" s="84">
        <f t="shared" si="12"/>
        <v>4606</v>
      </c>
      <c r="L48" s="84">
        <f t="shared" si="12"/>
        <v>4643</v>
      </c>
      <c r="M48" s="84">
        <f t="shared" si="12"/>
        <v>4661</v>
      </c>
      <c r="N48" s="84">
        <f t="shared" si="12"/>
        <v>0</v>
      </c>
      <c r="O48" s="84">
        <f t="shared" si="12"/>
        <v>0</v>
      </c>
      <c r="P48" s="84">
        <f t="shared" si="12"/>
        <v>54359</v>
      </c>
    </row>
    <row r="49" spans="1:17" ht="9.75" customHeight="1" x14ac:dyDescent="0.25">
      <c r="A49"/>
      <c r="B49" s="86"/>
      <c r="C49" s="148" t="s">
        <v>80</v>
      </c>
      <c r="D49" s="149">
        <v>1663</v>
      </c>
      <c r="E49" s="149">
        <v>3155</v>
      </c>
      <c r="F49" s="150">
        <v>3888</v>
      </c>
      <c r="G49" s="151">
        <v>3311</v>
      </c>
      <c r="H49" s="150">
        <v>4800</v>
      </c>
      <c r="I49" s="152">
        <v>5094</v>
      </c>
      <c r="J49" s="152">
        <v>4764</v>
      </c>
      <c r="K49" s="150">
        <v>3201</v>
      </c>
      <c r="L49" s="150">
        <v>2891</v>
      </c>
      <c r="M49" s="150">
        <v>3219</v>
      </c>
      <c r="N49" s="150"/>
      <c r="O49" s="150"/>
      <c r="P49" s="278">
        <f>SUM(D49:O49)</f>
        <v>35986</v>
      </c>
    </row>
    <row r="50" spans="1:17" ht="9.75" customHeight="1" x14ac:dyDescent="0.25">
      <c r="A50"/>
      <c r="B50" s="90"/>
      <c r="C50" s="87" t="s">
        <v>141</v>
      </c>
      <c r="D50" s="100">
        <v>143</v>
      </c>
      <c r="E50" s="100">
        <v>1335</v>
      </c>
      <c r="F50" s="88">
        <v>2775</v>
      </c>
      <c r="G50" s="101">
        <v>1881</v>
      </c>
      <c r="H50" s="88">
        <v>2802</v>
      </c>
      <c r="I50" s="98">
        <v>2825</v>
      </c>
      <c r="J50" s="99">
        <v>2013</v>
      </c>
      <c r="K50" s="91">
        <v>1405</v>
      </c>
      <c r="L50" s="91">
        <v>1752</v>
      </c>
      <c r="M50" s="91">
        <v>1442</v>
      </c>
      <c r="N50" s="91"/>
      <c r="O50" s="91"/>
      <c r="P50" s="278">
        <f>SUM(D50:O50)</f>
        <v>18373</v>
      </c>
    </row>
    <row r="51" spans="1:17" ht="6" customHeight="1" x14ac:dyDescent="0.25">
      <c r="A51"/>
      <c r="B51" s="102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</row>
    <row r="52" spans="1:17" ht="9.9" customHeight="1" x14ac:dyDescent="0.25">
      <c r="B52" s="82" t="s">
        <v>114</v>
      </c>
      <c r="C52" s="83"/>
      <c r="D52" s="84">
        <f>SUM(D53:D56)</f>
        <v>479</v>
      </c>
      <c r="E52" s="84">
        <f t="shared" ref="E52:P52" si="13">SUM(E53:E56)</f>
        <v>923</v>
      </c>
      <c r="F52" s="84">
        <f t="shared" si="13"/>
        <v>759</v>
      </c>
      <c r="G52" s="84">
        <f t="shared" si="13"/>
        <v>773</v>
      </c>
      <c r="H52" s="84">
        <f t="shared" si="13"/>
        <v>759</v>
      </c>
      <c r="I52" s="84">
        <f t="shared" si="13"/>
        <v>758</v>
      </c>
      <c r="J52" s="84">
        <f t="shared" si="13"/>
        <v>648</v>
      </c>
      <c r="K52" s="84">
        <f t="shared" si="13"/>
        <v>743</v>
      </c>
      <c r="L52" s="84">
        <f t="shared" si="13"/>
        <v>632</v>
      </c>
      <c r="M52" s="84">
        <f t="shared" si="13"/>
        <v>493</v>
      </c>
      <c r="N52" s="84">
        <f t="shared" si="13"/>
        <v>0</v>
      </c>
      <c r="O52" s="84">
        <f t="shared" si="13"/>
        <v>0</v>
      </c>
      <c r="P52" s="84">
        <f t="shared" si="13"/>
        <v>6967</v>
      </c>
    </row>
    <row r="53" spans="1:17" ht="9.9" customHeight="1" x14ac:dyDescent="0.25">
      <c r="B53" s="86"/>
      <c r="C53" s="87" t="s">
        <v>129</v>
      </c>
      <c r="D53" s="100">
        <v>259</v>
      </c>
      <c r="E53" s="100">
        <v>667</v>
      </c>
      <c r="F53" s="88">
        <v>543</v>
      </c>
      <c r="G53" s="101">
        <v>543</v>
      </c>
      <c r="H53" s="88">
        <v>605</v>
      </c>
      <c r="I53" s="98">
        <v>528</v>
      </c>
      <c r="J53" s="99">
        <v>470</v>
      </c>
      <c r="K53" s="91">
        <v>576</v>
      </c>
      <c r="L53" s="91">
        <v>458</v>
      </c>
      <c r="M53" s="91">
        <v>354</v>
      </c>
      <c r="N53" s="91"/>
      <c r="O53" s="91"/>
      <c r="P53" s="279">
        <f>SUM(D53:O53)</f>
        <v>5003</v>
      </c>
    </row>
    <row r="54" spans="1:17" ht="9.9" customHeight="1" x14ac:dyDescent="0.25">
      <c r="B54" s="86"/>
      <c r="C54" s="87" t="s">
        <v>143</v>
      </c>
      <c r="D54" s="100">
        <v>194</v>
      </c>
      <c r="E54" s="100">
        <v>225</v>
      </c>
      <c r="F54" s="88">
        <v>169</v>
      </c>
      <c r="G54" s="101">
        <v>194</v>
      </c>
      <c r="H54" s="88">
        <v>135</v>
      </c>
      <c r="I54" s="98">
        <v>205</v>
      </c>
      <c r="J54" s="98">
        <v>160</v>
      </c>
      <c r="K54" s="88">
        <v>147</v>
      </c>
      <c r="L54" s="88">
        <v>163</v>
      </c>
      <c r="M54" s="88">
        <v>124</v>
      </c>
      <c r="N54" s="88"/>
      <c r="O54" s="88"/>
      <c r="P54" s="279">
        <f>SUM(D54:O54)</f>
        <v>1716</v>
      </c>
    </row>
    <row r="55" spans="1:17" ht="9.9" customHeight="1" x14ac:dyDescent="0.25">
      <c r="B55" s="86"/>
      <c r="C55" s="87" t="s">
        <v>177</v>
      </c>
      <c r="D55" s="100">
        <v>26</v>
      </c>
      <c r="E55" s="100">
        <v>31</v>
      </c>
      <c r="F55" s="88">
        <v>47</v>
      </c>
      <c r="G55" s="101">
        <v>36</v>
      </c>
      <c r="H55" s="88">
        <v>19</v>
      </c>
      <c r="I55" s="98">
        <v>25</v>
      </c>
      <c r="J55" s="98">
        <v>18</v>
      </c>
      <c r="K55" s="88">
        <v>20</v>
      </c>
      <c r="L55" s="88">
        <v>11</v>
      </c>
      <c r="M55" s="88">
        <v>15</v>
      </c>
      <c r="N55" s="88"/>
      <c r="O55" s="88"/>
      <c r="P55" s="279">
        <f>SUM(D55:O55)</f>
        <v>248</v>
      </c>
    </row>
    <row r="56" spans="1:17" ht="9.9" customHeight="1" x14ac:dyDescent="0.25">
      <c r="B56" s="90"/>
      <c r="C56" s="87" t="s">
        <v>144</v>
      </c>
      <c r="D56" s="100">
        <v>0</v>
      </c>
      <c r="E56" s="100">
        <v>0</v>
      </c>
      <c r="F56" s="88">
        <v>0</v>
      </c>
      <c r="G56" s="101">
        <v>0</v>
      </c>
      <c r="H56" s="88">
        <v>0</v>
      </c>
      <c r="I56" s="98">
        <v>0</v>
      </c>
      <c r="J56" s="99">
        <v>0</v>
      </c>
      <c r="K56" s="91">
        <v>0</v>
      </c>
      <c r="L56" s="91">
        <v>0</v>
      </c>
      <c r="M56" s="91">
        <v>0</v>
      </c>
      <c r="N56" s="91"/>
      <c r="O56" s="91"/>
      <c r="P56" s="278">
        <f>SUM(D56:O56)</f>
        <v>0</v>
      </c>
    </row>
    <row r="57" spans="1:17" s="208" customFormat="1" ht="6.6" customHeight="1" x14ac:dyDescent="0.25">
      <c r="A57" s="203"/>
      <c r="B57" s="102"/>
      <c r="C57" s="102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6"/>
      <c r="Q57" s="207"/>
    </row>
    <row r="58" spans="1:17" ht="9.9" customHeight="1" x14ac:dyDescent="0.25">
      <c r="B58" s="82" t="s">
        <v>60</v>
      </c>
      <c r="C58" s="83"/>
      <c r="D58" s="84">
        <f>SUM(D59:D60)</f>
        <v>3619</v>
      </c>
      <c r="E58" s="84">
        <f>SUM(E59:E60)</f>
        <v>2684</v>
      </c>
      <c r="F58" s="84">
        <f t="shared" ref="F58:P58" si="14">SUM(F59:F60)</f>
        <v>2740</v>
      </c>
      <c r="G58" s="84">
        <f t="shared" si="14"/>
        <v>4175</v>
      </c>
      <c r="H58" s="84">
        <f t="shared" si="14"/>
        <v>3722</v>
      </c>
      <c r="I58" s="84">
        <f t="shared" si="14"/>
        <v>2864</v>
      </c>
      <c r="J58" s="84">
        <f t="shared" si="14"/>
        <v>1548</v>
      </c>
      <c r="K58" s="84">
        <f t="shared" si="14"/>
        <v>1962</v>
      </c>
      <c r="L58" s="84">
        <f t="shared" si="14"/>
        <v>2452</v>
      </c>
      <c r="M58" s="84">
        <f t="shared" si="14"/>
        <v>1729</v>
      </c>
      <c r="N58" s="84">
        <f t="shared" si="14"/>
        <v>0</v>
      </c>
      <c r="O58" s="84">
        <f t="shared" si="14"/>
        <v>0</v>
      </c>
      <c r="P58" s="84">
        <f t="shared" si="14"/>
        <v>27495</v>
      </c>
    </row>
    <row r="59" spans="1:17" ht="9.9" customHeight="1" x14ac:dyDescent="0.25">
      <c r="B59" s="86"/>
      <c r="C59" s="87" t="s">
        <v>157</v>
      </c>
      <c r="D59" s="100">
        <v>2728</v>
      </c>
      <c r="E59" s="100">
        <v>2034</v>
      </c>
      <c r="F59" s="88">
        <v>2072</v>
      </c>
      <c r="G59" s="101">
        <v>3273</v>
      </c>
      <c r="H59" s="88">
        <v>2258</v>
      </c>
      <c r="I59" s="98">
        <v>1724</v>
      </c>
      <c r="J59" s="98">
        <v>1093</v>
      </c>
      <c r="K59" s="88">
        <v>1398</v>
      </c>
      <c r="L59" s="88">
        <v>1493</v>
      </c>
      <c r="M59" s="88">
        <v>1052</v>
      </c>
      <c r="N59" s="88"/>
      <c r="O59" s="88"/>
      <c r="P59" s="279">
        <f>SUM(D59:O59)</f>
        <v>19125</v>
      </c>
    </row>
    <row r="60" spans="1:17" ht="9.9" customHeight="1" x14ac:dyDescent="0.25">
      <c r="B60" s="90"/>
      <c r="C60" s="87" t="s">
        <v>158</v>
      </c>
      <c r="D60" s="100">
        <v>891</v>
      </c>
      <c r="E60" s="100">
        <v>650</v>
      </c>
      <c r="F60" s="88">
        <v>668</v>
      </c>
      <c r="G60" s="101">
        <v>902</v>
      </c>
      <c r="H60" s="88">
        <v>1464</v>
      </c>
      <c r="I60" s="98">
        <v>1140</v>
      </c>
      <c r="J60" s="98">
        <v>455</v>
      </c>
      <c r="K60" s="88">
        <v>564</v>
      </c>
      <c r="L60" s="88">
        <v>959</v>
      </c>
      <c r="M60" s="88">
        <v>677</v>
      </c>
      <c r="N60" s="88"/>
      <c r="O60" s="88"/>
      <c r="P60" s="279">
        <f>SUM(D60:O60)</f>
        <v>8370</v>
      </c>
    </row>
    <row r="61" spans="1:17" s="208" customFormat="1" ht="6.6" customHeight="1" x14ac:dyDescent="0.25">
      <c r="A61" s="203"/>
      <c r="B61" s="102"/>
      <c r="C61" s="102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6"/>
      <c r="Q61" s="207"/>
    </row>
    <row r="62" spans="1:17" ht="9.9" customHeight="1" x14ac:dyDescent="0.25">
      <c r="B62" s="82" t="s">
        <v>8</v>
      </c>
      <c r="C62" s="83"/>
      <c r="D62" s="273">
        <f>SUM(D63:D64)</f>
        <v>2159</v>
      </c>
      <c r="E62" s="273">
        <f t="shared" ref="E62:P62" si="15">SUM(E63:E64)</f>
        <v>1680</v>
      </c>
      <c r="F62" s="273">
        <f t="shared" si="15"/>
        <v>1860</v>
      </c>
      <c r="G62" s="273">
        <f t="shared" si="15"/>
        <v>1997</v>
      </c>
      <c r="H62" s="273">
        <f t="shared" si="15"/>
        <v>2477</v>
      </c>
      <c r="I62" s="273">
        <f t="shared" si="15"/>
        <v>2913</v>
      </c>
      <c r="J62" s="273">
        <f t="shared" si="15"/>
        <v>1361</v>
      </c>
      <c r="K62" s="273">
        <f t="shared" si="15"/>
        <v>2534</v>
      </c>
      <c r="L62" s="273">
        <f t="shared" si="15"/>
        <v>2327</v>
      </c>
      <c r="M62" s="273">
        <f t="shared" si="15"/>
        <v>2722</v>
      </c>
      <c r="N62" s="273">
        <f t="shared" si="15"/>
        <v>0</v>
      </c>
      <c r="O62" s="273">
        <f t="shared" si="15"/>
        <v>0</v>
      </c>
      <c r="P62" s="273">
        <f t="shared" si="15"/>
        <v>22030</v>
      </c>
    </row>
    <row r="63" spans="1:17" ht="9.9" customHeight="1" x14ac:dyDescent="0.25">
      <c r="B63" s="86"/>
      <c r="C63" s="87" t="s">
        <v>124</v>
      </c>
      <c r="D63" s="88">
        <v>1039</v>
      </c>
      <c r="E63" s="88">
        <v>831</v>
      </c>
      <c r="F63" s="88">
        <v>988</v>
      </c>
      <c r="G63" s="88">
        <v>1139</v>
      </c>
      <c r="H63" s="88">
        <v>1376</v>
      </c>
      <c r="I63" s="88">
        <v>1657</v>
      </c>
      <c r="J63" s="98">
        <v>914</v>
      </c>
      <c r="K63" s="88">
        <v>1352</v>
      </c>
      <c r="L63" s="88">
        <v>1312</v>
      </c>
      <c r="M63" s="88">
        <v>1137</v>
      </c>
      <c r="N63" s="88"/>
      <c r="O63" s="88"/>
      <c r="P63" s="279">
        <f>SUM(D63:O63)</f>
        <v>11745</v>
      </c>
    </row>
    <row r="64" spans="1:17" ht="9.9" customHeight="1" x14ac:dyDescent="0.25">
      <c r="B64" s="90"/>
      <c r="C64" s="87" t="s">
        <v>181</v>
      </c>
      <c r="D64" s="274">
        <v>1120</v>
      </c>
      <c r="E64" s="274">
        <v>849</v>
      </c>
      <c r="F64" s="275">
        <v>872</v>
      </c>
      <c r="G64" s="276">
        <v>858</v>
      </c>
      <c r="H64" s="275">
        <v>1101</v>
      </c>
      <c r="I64" s="277">
        <v>1256</v>
      </c>
      <c r="J64" s="98">
        <v>447</v>
      </c>
      <c r="K64" s="88">
        <v>1182</v>
      </c>
      <c r="L64" s="88">
        <v>1015</v>
      </c>
      <c r="M64" s="88">
        <v>1585</v>
      </c>
      <c r="N64" s="88"/>
      <c r="O64" s="88"/>
      <c r="P64" s="279">
        <f>SUM(D64:O64)</f>
        <v>10285</v>
      </c>
    </row>
    <row r="65" spans="1:17" s="208" customFormat="1" ht="7.2" customHeight="1" x14ac:dyDescent="0.25">
      <c r="A65" s="203"/>
      <c r="B65" s="102"/>
      <c r="C65" s="102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6"/>
      <c r="Q65" s="207"/>
    </row>
    <row r="66" spans="1:17" ht="10.199999999999999" customHeight="1" x14ac:dyDescent="0.25">
      <c r="B66" s="93" t="s">
        <v>118</v>
      </c>
      <c r="C66" s="94"/>
      <c r="D66" s="84">
        <f t="shared" ref="D66:P66" si="16">SUM(D67:D68)</f>
        <v>5501</v>
      </c>
      <c r="E66" s="84">
        <f t="shared" si="16"/>
        <v>4655</v>
      </c>
      <c r="F66" s="84">
        <f t="shared" si="16"/>
        <v>3967</v>
      </c>
      <c r="G66" s="84">
        <f t="shared" si="16"/>
        <v>4023</v>
      </c>
      <c r="H66" s="84">
        <f t="shared" si="16"/>
        <v>4330</v>
      </c>
      <c r="I66" s="84">
        <f t="shared" si="16"/>
        <v>3630</v>
      </c>
      <c r="J66" s="84">
        <f t="shared" si="16"/>
        <v>2966</v>
      </c>
      <c r="K66" s="84">
        <f t="shared" si="16"/>
        <v>3080</v>
      </c>
      <c r="L66" s="84">
        <f t="shared" si="16"/>
        <v>2863</v>
      </c>
      <c r="M66" s="84">
        <f t="shared" si="16"/>
        <v>3082</v>
      </c>
      <c r="N66" s="84">
        <f t="shared" si="16"/>
        <v>0</v>
      </c>
      <c r="O66" s="84">
        <f t="shared" si="16"/>
        <v>0</v>
      </c>
      <c r="P66" s="84">
        <f t="shared" si="16"/>
        <v>38097</v>
      </c>
    </row>
    <row r="67" spans="1:17" ht="9.9" customHeight="1" x14ac:dyDescent="0.25">
      <c r="B67" s="86"/>
      <c r="C67" s="87" t="s">
        <v>152</v>
      </c>
      <c r="D67" s="100">
        <v>5323</v>
      </c>
      <c r="E67" s="100">
        <v>4543</v>
      </c>
      <c r="F67" s="100">
        <v>3640</v>
      </c>
      <c r="G67" s="100">
        <v>3793</v>
      </c>
      <c r="H67" s="100">
        <v>3994</v>
      </c>
      <c r="I67" s="100">
        <v>3222</v>
      </c>
      <c r="J67" s="100">
        <v>2758</v>
      </c>
      <c r="K67" s="100">
        <v>2818</v>
      </c>
      <c r="L67" s="100">
        <v>2695</v>
      </c>
      <c r="M67" s="100">
        <v>2895</v>
      </c>
      <c r="N67" s="91"/>
      <c r="O67" s="91"/>
      <c r="P67" s="278">
        <f>SUM(D67:O67)</f>
        <v>35681</v>
      </c>
    </row>
    <row r="68" spans="1:17" s="16" customFormat="1" ht="8.4" customHeight="1" x14ac:dyDescent="0.25">
      <c r="A68" s="20"/>
      <c r="B68" s="90"/>
      <c r="C68" s="87" t="s">
        <v>196</v>
      </c>
      <c r="D68" s="100">
        <v>178</v>
      </c>
      <c r="E68" s="100">
        <v>112</v>
      </c>
      <c r="F68" s="100">
        <v>327</v>
      </c>
      <c r="G68" s="100">
        <v>230</v>
      </c>
      <c r="H68" s="100">
        <v>336</v>
      </c>
      <c r="I68" s="100">
        <v>408</v>
      </c>
      <c r="J68" s="100">
        <v>208</v>
      </c>
      <c r="K68" s="100">
        <v>262</v>
      </c>
      <c r="L68" s="100">
        <v>168</v>
      </c>
      <c r="M68" s="100">
        <v>187</v>
      </c>
      <c r="N68" s="91"/>
      <c r="O68" s="91"/>
      <c r="P68" s="278">
        <f>SUM(D68:O68)</f>
        <v>2416</v>
      </c>
      <c r="Q68" s="113"/>
    </row>
    <row r="69" spans="1:17" ht="6.6" customHeight="1" x14ac:dyDescent="0.25">
      <c r="A69" s="191"/>
      <c r="B69" s="192"/>
      <c r="C69" s="192"/>
      <c r="D69" s="193"/>
      <c r="E69" s="193"/>
      <c r="F69" s="193"/>
      <c r="G69" s="193"/>
      <c r="H69" s="193"/>
      <c r="I69" s="193"/>
      <c r="J69" s="194"/>
      <c r="K69" s="194"/>
      <c r="L69" s="194"/>
      <c r="M69" s="194"/>
      <c r="N69" s="194"/>
      <c r="O69" s="194"/>
      <c r="P69" s="195"/>
    </row>
    <row r="70" spans="1:17" ht="10.199999999999999" customHeight="1" x14ac:dyDescent="0.25">
      <c r="B70" s="82" t="s">
        <v>162</v>
      </c>
      <c r="C70" s="83"/>
      <c r="D70" s="84">
        <f>SUM(D71,D72)</f>
        <v>2415</v>
      </c>
      <c r="E70" s="84">
        <f t="shared" ref="E70:O70" si="17">SUM(E71,E72)</f>
        <v>2592</v>
      </c>
      <c r="F70" s="84">
        <f t="shared" si="17"/>
        <v>1907</v>
      </c>
      <c r="G70" s="84">
        <f t="shared" si="17"/>
        <v>2100</v>
      </c>
      <c r="H70" s="84">
        <f t="shared" si="17"/>
        <v>2859</v>
      </c>
      <c r="I70" s="84">
        <f t="shared" si="17"/>
        <v>2219</v>
      </c>
      <c r="J70" s="84">
        <f t="shared" si="17"/>
        <v>2231</v>
      </c>
      <c r="K70" s="84">
        <f t="shared" si="17"/>
        <v>2004</v>
      </c>
      <c r="L70" s="84">
        <f t="shared" si="17"/>
        <v>2348</v>
      </c>
      <c r="M70" s="84">
        <f t="shared" si="17"/>
        <v>2413</v>
      </c>
      <c r="N70" s="84">
        <f t="shared" si="17"/>
        <v>0</v>
      </c>
      <c r="O70" s="84">
        <f t="shared" si="17"/>
        <v>0</v>
      </c>
      <c r="P70" s="84">
        <f>SUM(P71:P72)</f>
        <v>23088</v>
      </c>
    </row>
    <row r="71" spans="1:17" ht="9.9" customHeight="1" x14ac:dyDescent="0.25">
      <c r="B71" s="86"/>
      <c r="C71" s="87" t="s">
        <v>195</v>
      </c>
      <c r="D71" s="100">
        <v>2415</v>
      </c>
      <c r="E71" s="100">
        <v>2592</v>
      </c>
      <c r="F71" s="100">
        <v>1813</v>
      </c>
      <c r="G71" s="100">
        <v>1686</v>
      </c>
      <c r="H71" s="100">
        <v>2315</v>
      </c>
      <c r="I71" s="100">
        <v>1734</v>
      </c>
      <c r="J71" s="100">
        <v>1894</v>
      </c>
      <c r="K71" s="100">
        <v>1673</v>
      </c>
      <c r="L71" s="100">
        <v>2108</v>
      </c>
      <c r="M71" s="100">
        <v>2240</v>
      </c>
      <c r="N71" s="91"/>
      <c r="O71" s="91"/>
      <c r="P71" s="278">
        <f>SUM(D71:O71)</f>
        <v>20470</v>
      </c>
    </row>
    <row r="72" spans="1:17" s="16" customFormat="1" ht="8.4" customHeight="1" x14ac:dyDescent="0.25">
      <c r="A72" s="20"/>
      <c r="B72" s="90"/>
      <c r="C72" s="87" t="s">
        <v>197</v>
      </c>
      <c r="D72" s="100">
        <v>0</v>
      </c>
      <c r="E72" s="100">
        <v>0</v>
      </c>
      <c r="F72" s="100">
        <v>94</v>
      </c>
      <c r="G72" s="100">
        <v>414</v>
      </c>
      <c r="H72" s="100">
        <v>544</v>
      </c>
      <c r="I72" s="100">
        <v>485</v>
      </c>
      <c r="J72" s="100">
        <v>337</v>
      </c>
      <c r="K72" s="100">
        <v>331</v>
      </c>
      <c r="L72" s="100">
        <v>240</v>
      </c>
      <c r="M72" s="100">
        <v>173</v>
      </c>
      <c r="N72" s="91"/>
      <c r="O72" s="91"/>
      <c r="P72" s="278">
        <f>SUM(D72:O72)</f>
        <v>2618</v>
      </c>
      <c r="Q72" s="113"/>
    </row>
    <row r="73" spans="1:17" ht="6.6" customHeight="1" x14ac:dyDescent="0.25">
      <c r="A73" s="191"/>
      <c r="B73" s="192"/>
      <c r="C73" s="192"/>
      <c r="D73" s="193"/>
      <c r="E73" s="193"/>
      <c r="F73" s="193"/>
      <c r="G73" s="193"/>
      <c r="H73" s="193"/>
      <c r="I73" s="193"/>
      <c r="J73" s="194"/>
      <c r="K73" s="194"/>
      <c r="L73" s="194"/>
      <c r="M73" s="194"/>
      <c r="N73" s="194"/>
      <c r="O73" s="194"/>
      <c r="P73" s="195"/>
    </row>
    <row r="74" spans="1:17" ht="10.199999999999999" customHeight="1" x14ac:dyDescent="0.25">
      <c r="B74" s="82" t="s">
        <v>12</v>
      </c>
      <c r="C74" s="83"/>
      <c r="D74" s="84">
        <f>SUM(D75:D76)</f>
        <v>5443</v>
      </c>
      <c r="E74" s="84">
        <f t="shared" ref="E74:P74" si="18">SUM(E75:E76)</f>
        <v>7995</v>
      </c>
      <c r="F74" s="84">
        <f t="shared" si="18"/>
        <v>4708</v>
      </c>
      <c r="G74" s="84">
        <f t="shared" si="18"/>
        <v>8423</v>
      </c>
      <c r="H74" s="84">
        <f t="shared" si="18"/>
        <v>8299</v>
      </c>
      <c r="I74" s="84">
        <f t="shared" si="18"/>
        <v>6980</v>
      </c>
      <c r="J74" s="84">
        <f t="shared" si="18"/>
        <v>8986</v>
      </c>
      <c r="K74" s="84">
        <f t="shared" si="18"/>
        <v>7792</v>
      </c>
      <c r="L74" s="84">
        <f t="shared" si="18"/>
        <v>8503</v>
      </c>
      <c r="M74" s="84">
        <f t="shared" si="18"/>
        <v>9020</v>
      </c>
      <c r="N74" s="84">
        <f t="shared" si="18"/>
        <v>0</v>
      </c>
      <c r="O74" s="84">
        <f t="shared" si="18"/>
        <v>0</v>
      </c>
      <c r="P74" s="84">
        <f t="shared" si="18"/>
        <v>76149</v>
      </c>
    </row>
    <row r="75" spans="1:17" ht="9" customHeight="1" x14ac:dyDescent="0.25">
      <c r="B75" s="86"/>
      <c r="C75" s="87" t="s">
        <v>198</v>
      </c>
      <c r="D75" s="100">
        <v>5402</v>
      </c>
      <c r="E75" s="100">
        <v>5038</v>
      </c>
      <c r="F75" s="88">
        <v>3699</v>
      </c>
      <c r="G75" s="101">
        <v>6604</v>
      </c>
      <c r="H75" s="88">
        <v>6054</v>
      </c>
      <c r="I75" s="98">
        <v>5011</v>
      </c>
      <c r="J75" s="98">
        <v>6762</v>
      </c>
      <c r="K75" s="88">
        <v>5682</v>
      </c>
      <c r="L75" s="88">
        <v>6414</v>
      </c>
      <c r="M75" s="88">
        <v>6547</v>
      </c>
      <c r="N75" s="88"/>
      <c r="O75" s="88"/>
      <c r="P75" s="279">
        <f>SUM(D75:O75)</f>
        <v>57213</v>
      </c>
      <c r="Q75"/>
    </row>
    <row r="76" spans="1:17" ht="8.4" customHeight="1" x14ac:dyDescent="0.25">
      <c r="B76" s="90"/>
      <c r="C76" s="87" t="s">
        <v>199</v>
      </c>
      <c r="D76" s="100">
        <v>41</v>
      </c>
      <c r="E76" s="100">
        <v>2957</v>
      </c>
      <c r="F76" s="100">
        <v>1009</v>
      </c>
      <c r="G76" s="100">
        <v>1819</v>
      </c>
      <c r="H76" s="100">
        <v>2245</v>
      </c>
      <c r="I76" s="100">
        <v>1969</v>
      </c>
      <c r="J76" s="100">
        <v>2224</v>
      </c>
      <c r="K76" s="100">
        <v>2110</v>
      </c>
      <c r="L76" s="100">
        <v>2089</v>
      </c>
      <c r="M76" s="100">
        <v>2473</v>
      </c>
      <c r="N76" s="91"/>
      <c r="O76" s="91"/>
      <c r="P76" s="279">
        <f>SUM(D76:O76)</f>
        <v>18936</v>
      </c>
      <c r="Q76"/>
    </row>
    <row r="77" spans="1:17" s="16" customFormat="1" ht="13.2" x14ac:dyDescent="0.2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Q77" s="113"/>
    </row>
    <row r="78" spans="1:17" ht="15" hidden="1" thickBot="1" x14ac:dyDescent="0.3">
      <c r="B78" s="18" t="s">
        <v>164</v>
      </c>
      <c r="C78" s="18"/>
    </row>
    <row r="79" spans="1:17" ht="12.75" hidden="1" customHeight="1" thickBot="1" x14ac:dyDescent="0.3">
      <c r="B79" s="446" t="s">
        <v>1</v>
      </c>
      <c r="C79" s="447"/>
      <c r="D79" s="21">
        <v>1</v>
      </c>
      <c r="E79" s="22">
        <v>2</v>
      </c>
      <c r="F79" s="22">
        <v>3</v>
      </c>
      <c r="G79" s="22">
        <v>4</v>
      </c>
      <c r="H79" s="22">
        <v>5</v>
      </c>
      <c r="I79" s="22">
        <v>6</v>
      </c>
      <c r="J79" s="22">
        <v>7</v>
      </c>
      <c r="K79" s="22">
        <v>8</v>
      </c>
      <c r="L79" s="22" t="s">
        <v>78</v>
      </c>
      <c r="M79" s="22">
        <v>10</v>
      </c>
      <c r="N79" s="22">
        <v>11</v>
      </c>
      <c r="O79" s="22">
        <v>12</v>
      </c>
      <c r="P79" s="23" t="s">
        <v>0</v>
      </c>
    </row>
    <row r="80" spans="1:17" ht="12.75" hidden="1" customHeight="1" x14ac:dyDescent="0.25">
      <c r="B80" s="430" t="s">
        <v>46</v>
      </c>
      <c r="C80" s="176" t="s">
        <v>22</v>
      </c>
      <c r="D80" s="76">
        <v>45</v>
      </c>
      <c r="E80" s="77">
        <v>41</v>
      </c>
      <c r="F80" s="76">
        <v>78</v>
      </c>
      <c r="G80" s="77">
        <v>42</v>
      </c>
      <c r="H80" s="77">
        <v>93</v>
      </c>
      <c r="I80" s="77">
        <v>47</v>
      </c>
      <c r="J80" s="77">
        <v>29</v>
      </c>
      <c r="K80" s="77">
        <v>22</v>
      </c>
      <c r="L80" s="79">
        <v>41</v>
      </c>
      <c r="M80" s="77">
        <v>26</v>
      </c>
      <c r="N80" s="77">
        <v>13</v>
      </c>
      <c r="O80" s="77">
        <v>33</v>
      </c>
      <c r="P80" s="78">
        <f t="shared" ref="P80:P85" si="19">SUM(D80:O80)</f>
        <v>510</v>
      </c>
      <c r="Q80"/>
    </row>
    <row r="81" spans="1:17" ht="12.75" hidden="1" customHeight="1" x14ac:dyDescent="0.25">
      <c r="B81" s="431"/>
      <c r="C81" s="176" t="s">
        <v>24</v>
      </c>
      <c r="D81" s="76">
        <v>6552</v>
      </c>
      <c r="E81" s="76">
        <v>5124</v>
      </c>
      <c r="F81" s="76">
        <v>8454</v>
      </c>
      <c r="G81" s="76">
        <v>7422</v>
      </c>
      <c r="H81" s="76">
        <v>6697</v>
      </c>
      <c r="I81" s="76">
        <v>5973</v>
      </c>
      <c r="J81" s="76">
        <v>5386</v>
      </c>
      <c r="K81" s="76">
        <v>4447</v>
      </c>
      <c r="L81" s="76">
        <v>5217</v>
      </c>
      <c r="M81" s="76">
        <v>3368</v>
      </c>
      <c r="N81" s="76">
        <v>5441</v>
      </c>
      <c r="O81" s="76">
        <v>6955</v>
      </c>
      <c r="P81" s="31">
        <f t="shared" si="19"/>
        <v>71036</v>
      </c>
      <c r="Q81"/>
    </row>
    <row r="82" spans="1:17" ht="12.75" hidden="1" customHeight="1" x14ac:dyDescent="0.25">
      <c r="B82" s="431"/>
      <c r="C82" s="176" t="s">
        <v>69</v>
      </c>
      <c r="D82" s="76">
        <v>0</v>
      </c>
      <c r="E82" s="76">
        <v>1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27">
        <f t="shared" si="19"/>
        <v>1</v>
      </c>
      <c r="Q82"/>
    </row>
    <row r="83" spans="1:17" ht="12.75" hidden="1" customHeight="1" x14ac:dyDescent="0.25">
      <c r="B83" s="431"/>
      <c r="C83" s="177" t="s">
        <v>3</v>
      </c>
      <c r="D83" s="29">
        <v>1</v>
      </c>
      <c r="E83" s="30">
        <v>0</v>
      </c>
      <c r="F83" s="29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2">
        <v>0</v>
      </c>
      <c r="M83" s="30">
        <v>0</v>
      </c>
      <c r="N83" s="30">
        <v>0</v>
      </c>
      <c r="O83" s="30">
        <v>0</v>
      </c>
      <c r="P83" s="78">
        <f t="shared" si="19"/>
        <v>1</v>
      </c>
      <c r="Q83"/>
    </row>
    <row r="84" spans="1:17" ht="12.75" hidden="1" customHeight="1" x14ac:dyDescent="0.25">
      <c r="B84" s="431"/>
      <c r="C84" s="178" t="s">
        <v>25</v>
      </c>
      <c r="D84" s="74">
        <v>3612</v>
      </c>
      <c r="E84" s="74">
        <v>4186</v>
      </c>
      <c r="F84" s="74">
        <v>6233</v>
      </c>
      <c r="G84" s="74">
        <v>7068</v>
      </c>
      <c r="H84" s="74">
        <v>5131</v>
      </c>
      <c r="I84" s="74">
        <v>6127</v>
      </c>
      <c r="J84" s="74">
        <v>3712</v>
      </c>
      <c r="K84" s="74">
        <v>4686</v>
      </c>
      <c r="L84" s="74">
        <v>5003</v>
      </c>
      <c r="M84" s="74">
        <v>6136</v>
      </c>
      <c r="N84" s="74">
        <v>5179</v>
      </c>
      <c r="O84" s="74">
        <v>6036</v>
      </c>
      <c r="P84" s="78">
        <f t="shared" si="19"/>
        <v>63109</v>
      </c>
      <c r="Q84"/>
    </row>
    <row r="85" spans="1:17" ht="12.75" hidden="1" customHeight="1" x14ac:dyDescent="0.25">
      <c r="B85" s="431"/>
      <c r="C85" s="179" t="s">
        <v>27</v>
      </c>
      <c r="D85" s="72">
        <v>8081</v>
      </c>
      <c r="E85" s="72">
        <v>8563</v>
      </c>
      <c r="F85" s="72">
        <v>9217</v>
      </c>
      <c r="G85" s="72">
        <v>9684</v>
      </c>
      <c r="H85" s="72">
        <v>7802</v>
      </c>
      <c r="I85" s="72">
        <v>9483</v>
      </c>
      <c r="J85" s="72">
        <v>5247</v>
      </c>
      <c r="K85" s="72">
        <v>3685</v>
      </c>
      <c r="L85" s="72">
        <v>3216</v>
      </c>
      <c r="M85" s="72">
        <v>9448</v>
      </c>
      <c r="N85" s="72">
        <v>6918</v>
      </c>
      <c r="O85" s="72">
        <v>7740</v>
      </c>
      <c r="P85" s="78">
        <f t="shared" si="19"/>
        <v>89084</v>
      </c>
      <c r="Q85"/>
    </row>
    <row r="86" spans="1:17" ht="12.75" hidden="1" customHeight="1" thickBot="1" x14ac:dyDescent="0.3">
      <c r="B86" s="432"/>
      <c r="C86" s="181" t="s">
        <v>0</v>
      </c>
      <c r="D86" s="43">
        <f t="shared" ref="D86:P86" si="20">SUM(D80:D85)</f>
        <v>18291</v>
      </c>
      <c r="E86" s="43">
        <f t="shared" si="20"/>
        <v>17915</v>
      </c>
      <c r="F86" s="43">
        <f t="shared" si="20"/>
        <v>23982</v>
      </c>
      <c r="G86" s="43">
        <f t="shared" si="20"/>
        <v>24216</v>
      </c>
      <c r="H86" s="43">
        <f t="shared" si="20"/>
        <v>19723</v>
      </c>
      <c r="I86" s="43">
        <f t="shared" si="20"/>
        <v>21630</v>
      </c>
      <c r="J86" s="43">
        <f t="shared" si="20"/>
        <v>14374</v>
      </c>
      <c r="K86" s="43">
        <f t="shared" si="20"/>
        <v>12840</v>
      </c>
      <c r="L86" s="43">
        <f t="shared" si="20"/>
        <v>13477</v>
      </c>
      <c r="M86" s="43">
        <f t="shared" si="20"/>
        <v>18978</v>
      </c>
      <c r="N86" s="43">
        <f>SUM(N80:N85)</f>
        <v>17551</v>
      </c>
      <c r="O86" s="43">
        <f t="shared" si="20"/>
        <v>20764</v>
      </c>
      <c r="P86" s="44">
        <f t="shared" si="20"/>
        <v>223741</v>
      </c>
      <c r="Q86"/>
    </row>
    <row r="87" spans="1:17" ht="12.75" hidden="1" customHeight="1" x14ac:dyDescent="0.25">
      <c r="B87" s="448" t="s">
        <v>45</v>
      </c>
      <c r="C87" s="175" t="s">
        <v>184</v>
      </c>
      <c r="D87" s="39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208</v>
      </c>
      <c r="M87" s="40">
        <v>2506</v>
      </c>
      <c r="N87" s="40">
        <v>3965</v>
      </c>
      <c r="O87" s="40">
        <v>4127</v>
      </c>
      <c r="P87" s="31">
        <f>SUM(D87:O87)</f>
        <v>10806</v>
      </c>
      <c r="Q87"/>
    </row>
    <row r="88" spans="1:17" ht="12.75" hidden="1" customHeight="1" x14ac:dyDescent="0.25">
      <c r="B88" s="441"/>
      <c r="C88" s="177" t="s">
        <v>138</v>
      </c>
      <c r="D88" s="29">
        <v>1069</v>
      </c>
      <c r="E88" s="30">
        <v>1099</v>
      </c>
      <c r="F88" s="30">
        <v>1441</v>
      </c>
      <c r="G88" s="30">
        <v>1224</v>
      </c>
      <c r="H88" s="30">
        <v>1001</v>
      </c>
      <c r="I88" s="30">
        <v>1418</v>
      </c>
      <c r="J88" s="30">
        <v>754</v>
      </c>
      <c r="K88" s="30">
        <v>965</v>
      </c>
      <c r="L88" s="30">
        <v>1163</v>
      </c>
      <c r="M88" s="30">
        <v>1003</v>
      </c>
      <c r="N88" s="30">
        <v>1194</v>
      </c>
      <c r="O88" s="30">
        <v>1165</v>
      </c>
      <c r="P88" s="31">
        <f>SUM(D88:O88)</f>
        <v>13496</v>
      </c>
      <c r="Q88"/>
    </row>
    <row r="89" spans="1:17" ht="12.75" hidden="1" customHeight="1" x14ac:dyDescent="0.25">
      <c r="B89" s="441"/>
      <c r="C89" s="182" t="s">
        <v>114</v>
      </c>
      <c r="D89" s="25">
        <v>1196</v>
      </c>
      <c r="E89" s="26">
        <v>1266</v>
      </c>
      <c r="F89" s="26">
        <v>2175</v>
      </c>
      <c r="G89" s="26">
        <v>1494</v>
      </c>
      <c r="H89" s="26">
        <v>798</v>
      </c>
      <c r="I89" s="26">
        <v>639</v>
      </c>
      <c r="J89" s="26">
        <v>699</v>
      </c>
      <c r="K89" s="26">
        <v>882</v>
      </c>
      <c r="L89" s="26">
        <v>347</v>
      </c>
      <c r="M89" s="26">
        <v>975</v>
      </c>
      <c r="N89" s="26">
        <v>595</v>
      </c>
      <c r="O89" s="26">
        <v>1178</v>
      </c>
      <c r="P89" s="27">
        <f t="shared" ref="P89:P94" si="21">SUM(D89:O89)</f>
        <v>12244</v>
      </c>
      <c r="Q89"/>
    </row>
    <row r="90" spans="1:17" ht="12.75" hidden="1" customHeight="1" x14ac:dyDescent="0.25">
      <c r="A90"/>
      <c r="B90" s="441"/>
      <c r="C90" s="182" t="s">
        <v>60</v>
      </c>
      <c r="D90" s="25">
        <v>6733</v>
      </c>
      <c r="E90" s="26">
        <v>5869</v>
      </c>
      <c r="F90" s="26">
        <v>4985</v>
      </c>
      <c r="G90" s="26">
        <v>4478</v>
      </c>
      <c r="H90" s="26">
        <v>2988</v>
      </c>
      <c r="I90" s="26">
        <v>3338</v>
      </c>
      <c r="J90" s="26">
        <v>3972</v>
      </c>
      <c r="K90" s="26">
        <v>3821</v>
      </c>
      <c r="L90" s="26">
        <v>2093</v>
      </c>
      <c r="M90" s="26">
        <v>2911</v>
      </c>
      <c r="N90" s="26">
        <v>3861</v>
      </c>
      <c r="O90" s="26">
        <v>3327</v>
      </c>
      <c r="P90" s="27">
        <f t="shared" si="21"/>
        <v>48376</v>
      </c>
      <c r="Q90"/>
    </row>
    <row r="91" spans="1:17" ht="12.75" hidden="1" customHeight="1" x14ac:dyDescent="0.25">
      <c r="A91"/>
      <c r="B91" s="441"/>
      <c r="C91" s="182" t="s">
        <v>171</v>
      </c>
      <c r="D91" s="25">
        <v>0</v>
      </c>
      <c r="E91" s="26">
        <v>0</v>
      </c>
      <c r="F91" s="26">
        <v>0</v>
      </c>
      <c r="G91" s="26">
        <v>114</v>
      </c>
      <c r="H91" s="26">
        <v>1919</v>
      </c>
      <c r="I91" s="26">
        <v>3667</v>
      </c>
      <c r="J91" s="26">
        <v>3447</v>
      </c>
      <c r="K91" s="26">
        <v>3337</v>
      </c>
      <c r="L91" s="26">
        <v>2983</v>
      </c>
      <c r="M91" s="26">
        <v>3783</v>
      </c>
      <c r="N91" s="26">
        <v>2228</v>
      </c>
      <c r="O91" s="26">
        <v>1193</v>
      </c>
      <c r="P91" s="31">
        <f t="shared" si="21"/>
        <v>22671</v>
      </c>
      <c r="Q91"/>
    </row>
    <row r="92" spans="1:17" ht="12.75" hidden="1" customHeight="1" x14ac:dyDescent="0.25">
      <c r="A92"/>
      <c r="B92" s="441"/>
      <c r="C92" s="182" t="s">
        <v>125</v>
      </c>
      <c r="D92" s="25">
        <v>142</v>
      </c>
      <c r="E92" s="26">
        <v>568</v>
      </c>
      <c r="F92" s="26">
        <v>934</v>
      </c>
      <c r="G92" s="26">
        <v>1265</v>
      </c>
      <c r="H92" s="26">
        <v>756</v>
      </c>
      <c r="I92" s="26">
        <v>751</v>
      </c>
      <c r="J92" s="26">
        <v>490</v>
      </c>
      <c r="K92" s="26">
        <v>556</v>
      </c>
      <c r="L92" s="26">
        <v>939</v>
      </c>
      <c r="M92" s="26">
        <v>940</v>
      </c>
      <c r="N92" s="26">
        <v>865</v>
      </c>
      <c r="O92" s="26">
        <v>296</v>
      </c>
      <c r="P92" s="198">
        <f t="shared" si="21"/>
        <v>8502</v>
      </c>
      <c r="Q92"/>
    </row>
    <row r="93" spans="1:17" ht="12.75" hidden="1" customHeight="1" x14ac:dyDescent="0.25">
      <c r="A93"/>
      <c r="B93" s="441"/>
      <c r="C93" s="177" t="s">
        <v>8</v>
      </c>
      <c r="D93" s="29">
        <v>4313</v>
      </c>
      <c r="E93" s="30">
        <v>2781</v>
      </c>
      <c r="F93" s="30">
        <v>4274</v>
      </c>
      <c r="G93" s="30">
        <v>4096</v>
      </c>
      <c r="H93" s="30">
        <v>3479</v>
      </c>
      <c r="I93" s="30">
        <v>2780</v>
      </c>
      <c r="J93" s="30">
        <v>4452</v>
      </c>
      <c r="K93" s="30">
        <v>3322</v>
      </c>
      <c r="L93" s="30">
        <v>2189</v>
      </c>
      <c r="M93" s="30">
        <v>3494</v>
      </c>
      <c r="N93" s="30">
        <v>2895</v>
      </c>
      <c r="O93" s="30">
        <v>3525</v>
      </c>
      <c r="P93" s="78">
        <f t="shared" si="21"/>
        <v>41600</v>
      </c>
      <c r="Q93"/>
    </row>
    <row r="94" spans="1:17" ht="12.75" hidden="1" customHeight="1" x14ac:dyDescent="0.25">
      <c r="A94"/>
      <c r="B94" s="441"/>
      <c r="C94" s="177" t="s">
        <v>134</v>
      </c>
      <c r="D94" s="29">
        <v>3818</v>
      </c>
      <c r="E94" s="30">
        <v>4045</v>
      </c>
      <c r="F94" s="30">
        <v>5897</v>
      </c>
      <c r="G94" s="30">
        <v>5777</v>
      </c>
      <c r="H94" s="30">
        <v>5040</v>
      </c>
      <c r="I94" s="30">
        <v>4964</v>
      </c>
      <c r="J94" s="30">
        <v>4695</v>
      </c>
      <c r="K94" s="30">
        <v>4011</v>
      </c>
      <c r="L94" s="30">
        <v>3290</v>
      </c>
      <c r="M94" s="30">
        <v>2582</v>
      </c>
      <c r="N94" s="30">
        <v>4503</v>
      </c>
      <c r="O94" s="30">
        <v>3716</v>
      </c>
      <c r="P94" s="31">
        <f t="shared" si="21"/>
        <v>52338</v>
      </c>
      <c r="Q94"/>
    </row>
    <row r="95" spans="1:17" ht="12.75" hidden="1" customHeight="1" thickBot="1" x14ac:dyDescent="0.3">
      <c r="A95"/>
      <c r="B95" s="442"/>
      <c r="C95" s="183" t="s">
        <v>0</v>
      </c>
      <c r="D95" s="36">
        <f t="shared" ref="D95:P95" si="22">SUM(D87:D94)</f>
        <v>17271</v>
      </c>
      <c r="E95" s="36">
        <f t="shared" si="22"/>
        <v>15628</v>
      </c>
      <c r="F95" s="36">
        <f t="shared" si="22"/>
        <v>19706</v>
      </c>
      <c r="G95" s="36">
        <f t="shared" si="22"/>
        <v>18448</v>
      </c>
      <c r="H95" s="36">
        <f t="shared" si="22"/>
        <v>15981</v>
      </c>
      <c r="I95" s="36">
        <f t="shared" si="22"/>
        <v>17557</v>
      </c>
      <c r="J95" s="36">
        <f t="shared" si="22"/>
        <v>18509</v>
      </c>
      <c r="K95" s="36">
        <f t="shared" si="22"/>
        <v>16894</v>
      </c>
      <c r="L95" s="36">
        <f t="shared" si="22"/>
        <v>13212</v>
      </c>
      <c r="M95" s="36">
        <f t="shared" si="22"/>
        <v>18194</v>
      </c>
      <c r="N95" s="36">
        <f t="shared" si="22"/>
        <v>20106</v>
      </c>
      <c r="O95" s="36">
        <f t="shared" si="22"/>
        <v>18527</v>
      </c>
      <c r="P95" s="37">
        <f t="shared" si="22"/>
        <v>210033</v>
      </c>
      <c r="Q95"/>
    </row>
    <row r="96" spans="1:17" ht="12.75" hidden="1" customHeight="1" x14ac:dyDescent="0.25">
      <c r="A96"/>
      <c r="B96" s="430" t="s">
        <v>9</v>
      </c>
      <c r="C96" s="175" t="s">
        <v>11</v>
      </c>
      <c r="D96" s="39">
        <v>2290</v>
      </c>
      <c r="E96" s="40">
        <v>1368</v>
      </c>
      <c r="F96" s="40">
        <v>1891</v>
      </c>
      <c r="G96" s="40">
        <v>1200</v>
      </c>
      <c r="H96" s="40">
        <v>344</v>
      </c>
      <c r="I96" s="40">
        <v>99</v>
      </c>
      <c r="J96" s="40">
        <v>0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1">
        <f>SUM(D96:O96)</f>
        <v>7192</v>
      </c>
      <c r="Q96"/>
    </row>
    <row r="97" spans="1:18" ht="12.75" hidden="1" customHeight="1" x14ac:dyDescent="0.25">
      <c r="A97"/>
      <c r="B97" s="431"/>
      <c r="C97" s="182" t="s">
        <v>172</v>
      </c>
      <c r="D97" s="25">
        <v>0</v>
      </c>
      <c r="E97" s="26">
        <v>0</v>
      </c>
      <c r="F97" s="26">
        <v>0</v>
      </c>
      <c r="G97" s="26">
        <v>158</v>
      </c>
      <c r="H97" s="26">
        <v>3232</v>
      </c>
      <c r="I97" s="26">
        <v>4304</v>
      </c>
      <c r="J97" s="26">
        <v>4018</v>
      </c>
      <c r="K97" s="26">
        <v>3563</v>
      </c>
      <c r="L97" s="26">
        <v>2903</v>
      </c>
      <c r="M97" s="26">
        <v>2775</v>
      </c>
      <c r="N97" s="26">
        <v>3031</v>
      </c>
      <c r="O97" s="26">
        <v>2256</v>
      </c>
      <c r="P97" s="27">
        <f>SUM(D97:O97)</f>
        <v>26240</v>
      </c>
      <c r="Q97"/>
    </row>
    <row r="98" spans="1:18" ht="12.75" hidden="1" customHeight="1" x14ac:dyDescent="0.25">
      <c r="A98"/>
      <c r="B98" s="431"/>
      <c r="C98" s="182" t="s">
        <v>12</v>
      </c>
      <c r="D98" s="25">
        <v>7952</v>
      </c>
      <c r="E98" s="26">
        <v>7626</v>
      </c>
      <c r="F98" s="26">
        <v>11213</v>
      </c>
      <c r="G98" s="26">
        <v>9182</v>
      </c>
      <c r="H98" s="26">
        <v>6930</v>
      </c>
      <c r="I98" s="26">
        <v>9208</v>
      </c>
      <c r="J98" s="26">
        <v>8804</v>
      </c>
      <c r="K98" s="26">
        <v>7424</v>
      </c>
      <c r="L98" s="26">
        <v>4916</v>
      </c>
      <c r="M98" s="26">
        <v>4042</v>
      </c>
      <c r="N98" s="26">
        <v>7288</v>
      </c>
      <c r="O98" s="26">
        <v>7633</v>
      </c>
      <c r="P98" s="27">
        <f>SUM(D98:O98)</f>
        <v>92218</v>
      </c>
      <c r="Q98"/>
    </row>
    <row r="99" spans="1:18" ht="12.75" hidden="1" customHeight="1" thickBot="1" x14ac:dyDescent="0.3">
      <c r="A99"/>
      <c r="B99" s="432"/>
      <c r="C99" s="181" t="s">
        <v>0</v>
      </c>
      <c r="D99" s="43">
        <f t="shared" ref="D99:L99" si="23">SUM(D96:D98)</f>
        <v>10242</v>
      </c>
      <c r="E99" s="43">
        <f t="shared" si="23"/>
        <v>8994</v>
      </c>
      <c r="F99" s="43">
        <f t="shared" si="23"/>
        <v>13104</v>
      </c>
      <c r="G99" s="43">
        <f t="shared" si="23"/>
        <v>10540</v>
      </c>
      <c r="H99" s="43">
        <f t="shared" si="23"/>
        <v>10506</v>
      </c>
      <c r="I99" s="43">
        <f t="shared" si="23"/>
        <v>13611</v>
      </c>
      <c r="J99" s="43">
        <f t="shared" si="23"/>
        <v>12822</v>
      </c>
      <c r="K99" s="43">
        <f t="shared" si="23"/>
        <v>10987</v>
      </c>
      <c r="L99" s="43">
        <f t="shared" si="23"/>
        <v>7819</v>
      </c>
      <c r="M99" s="43">
        <f>SUM(M96:M98)</f>
        <v>6817</v>
      </c>
      <c r="N99" s="43">
        <f>SUM(N96:N98)</f>
        <v>10319</v>
      </c>
      <c r="O99" s="43">
        <f>SUM(O96:O98)</f>
        <v>9889</v>
      </c>
      <c r="P99" s="44">
        <f>SUM(P96:P98)</f>
        <v>125650</v>
      </c>
      <c r="Q99"/>
    </row>
    <row r="100" spans="1:18" ht="12.75" hidden="1" customHeight="1" x14ac:dyDescent="0.25">
      <c r="A100"/>
      <c r="B100" s="430" t="s">
        <v>10</v>
      </c>
      <c r="C100" s="175" t="s">
        <v>13</v>
      </c>
      <c r="D100" s="39">
        <v>291</v>
      </c>
      <c r="E100" s="40">
        <v>475</v>
      </c>
      <c r="F100" s="40">
        <v>468</v>
      </c>
      <c r="G100" s="40">
        <v>557</v>
      </c>
      <c r="H100" s="40">
        <v>506</v>
      </c>
      <c r="I100" s="40">
        <f>211+46+177+70</f>
        <v>504</v>
      </c>
      <c r="J100" s="40">
        <v>381</v>
      </c>
      <c r="K100" s="40">
        <v>284</v>
      </c>
      <c r="L100" s="40">
        <v>367</v>
      </c>
      <c r="M100" s="40">
        <v>505</v>
      </c>
      <c r="N100" s="40">
        <v>572</v>
      </c>
      <c r="O100" s="40">
        <v>480</v>
      </c>
      <c r="P100" s="41">
        <f>SUM(D100:O100)</f>
        <v>5390</v>
      </c>
      <c r="Q100"/>
    </row>
    <row r="101" spans="1:18" ht="12.75" hidden="1" customHeight="1" x14ac:dyDescent="0.25">
      <c r="A101"/>
      <c r="B101" s="431"/>
      <c r="C101" s="182" t="s">
        <v>14</v>
      </c>
      <c r="D101" s="25">
        <v>1909</v>
      </c>
      <c r="E101" s="26">
        <v>1769</v>
      </c>
      <c r="F101" s="26">
        <v>2484</v>
      </c>
      <c r="G101" s="26">
        <v>2568</v>
      </c>
      <c r="H101" s="26">
        <v>2309</v>
      </c>
      <c r="I101" s="26">
        <f>916+440+400+444</f>
        <v>2200</v>
      </c>
      <c r="J101" s="26">
        <v>1820</v>
      </c>
      <c r="K101" s="26">
        <v>1722</v>
      </c>
      <c r="L101" s="26">
        <v>1349</v>
      </c>
      <c r="M101" s="26">
        <v>1791</v>
      </c>
      <c r="N101" s="26">
        <v>1767</v>
      </c>
      <c r="O101" s="26">
        <v>1580</v>
      </c>
      <c r="P101" s="27">
        <f>SUM(D101:O101)</f>
        <v>23268</v>
      </c>
      <c r="Q101"/>
    </row>
    <row r="102" spans="1:18" ht="12.75" hidden="1" customHeight="1" thickBot="1" x14ac:dyDescent="0.3">
      <c r="A102"/>
      <c r="B102" s="432"/>
      <c r="C102" s="181" t="s">
        <v>0</v>
      </c>
      <c r="D102" s="43">
        <f t="shared" ref="D102:I102" si="24">SUM(D100:D101)</f>
        <v>2200</v>
      </c>
      <c r="E102" s="43">
        <f t="shared" si="24"/>
        <v>2244</v>
      </c>
      <c r="F102" s="43">
        <f t="shared" si="24"/>
        <v>2952</v>
      </c>
      <c r="G102" s="43">
        <f t="shared" si="24"/>
        <v>3125</v>
      </c>
      <c r="H102" s="43">
        <f t="shared" si="24"/>
        <v>2815</v>
      </c>
      <c r="I102" s="43">
        <f t="shared" si="24"/>
        <v>2704</v>
      </c>
      <c r="J102" s="43">
        <f>SUM(J100:J101)</f>
        <v>2201</v>
      </c>
      <c r="K102" s="43">
        <f t="shared" ref="K102:P102" si="25">SUM(K100:K101)</f>
        <v>2006</v>
      </c>
      <c r="L102" s="43">
        <f t="shared" si="25"/>
        <v>1716</v>
      </c>
      <c r="M102" s="43">
        <f t="shared" si="25"/>
        <v>2296</v>
      </c>
      <c r="N102" s="43">
        <f t="shared" si="25"/>
        <v>2339</v>
      </c>
      <c r="O102" s="43">
        <f t="shared" si="25"/>
        <v>2060</v>
      </c>
      <c r="P102" s="44">
        <f t="shared" si="25"/>
        <v>28658</v>
      </c>
      <c r="Q102"/>
    </row>
    <row r="103" spans="1:18" ht="12.75" hidden="1" customHeight="1" x14ac:dyDescent="0.25">
      <c r="A103"/>
      <c r="B103" s="449" t="s">
        <v>4</v>
      </c>
      <c r="C103" s="184" t="s">
        <v>116</v>
      </c>
      <c r="D103" s="156">
        <v>1001</v>
      </c>
      <c r="E103" s="156">
        <v>297</v>
      </c>
      <c r="F103" s="156">
        <v>654</v>
      </c>
      <c r="G103" s="156">
        <v>625</v>
      </c>
      <c r="H103" s="156">
        <v>918</v>
      </c>
      <c r="I103" s="156">
        <v>942</v>
      </c>
      <c r="J103" s="156">
        <v>616</v>
      </c>
      <c r="K103" s="156">
        <v>580</v>
      </c>
      <c r="L103" s="156">
        <v>385</v>
      </c>
      <c r="M103" s="156">
        <v>372</v>
      </c>
      <c r="N103" s="156">
        <v>552</v>
      </c>
      <c r="O103" s="156">
        <v>487</v>
      </c>
      <c r="P103" s="157">
        <f t="shared" ref="P103:P108" si="26">SUM(D103:O103)</f>
        <v>7429</v>
      </c>
      <c r="Q103"/>
    </row>
    <row r="104" spans="1:18" ht="12.75" hidden="1" customHeight="1" x14ac:dyDescent="0.25">
      <c r="A104"/>
      <c r="B104" s="450"/>
      <c r="C104" s="185" t="s">
        <v>118</v>
      </c>
      <c r="D104" s="132">
        <v>5650</v>
      </c>
      <c r="E104" s="132">
        <v>2714</v>
      </c>
      <c r="F104" s="132">
        <v>5252</v>
      </c>
      <c r="G104" s="132">
        <v>6009</v>
      </c>
      <c r="H104" s="132">
        <v>5584</v>
      </c>
      <c r="I104" s="132">
        <v>5357</v>
      </c>
      <c r="J104" s="132">
        <v>5028</v>
      </c>
      <c r="K104" s="132">
        <v>3718</v>
      </c>
      <c r="L104" s="132">
        <v>3892</v>
      </c>
      <c r="M104" s="132">
        <v>6119</v>
      </c>
      <c r="N104" s="132">
        <v>3946</v>
      </c>
      <c r="O104" s="132">
        <v>6194</v>
      </c>
      <c r="P104" s="133">
        <f t="shared" si="26"/>
        <v>59463</v>
      </c>
      <c r="Q104"/>
    </row>
    <row r="105" spans="1:18" ht="12.75" hidden="1" customHeight="1" x14ac:dyDescent="0.25">
      <c r="A105"/>
      <c r="B105" s="450"/>
      <c r="C105" s="177" t="s">
        <v>132</v>
      </c>
      <c r="D105" s="29">
        <v>594</v>
      </c>
      <c r="E105" s="30">
        <v>434</v>
      </c>
      <c r="F105" s="30">
        <v>597</v>
      </c>
      <c r="G105" s="30">
        <v>774</v>
      </c>
      <c r="H105" s="30">
        <v>662</v>
      </c>
      <c r="I105" s="30">
        <v>398</v>
      </c>
      <c r="J105" s="30">
        <v>355</v>
      </c>
      <c r="K105" s="30">
        <v>203</v>
      </c>
      <c r="L105" s="30">
        <v>261</v>
      </c>
      <c r="M105" s="30">
        <v>270</v>
      </c>
      <c r="N105" s="30">
        <v>240</v>
      </c>
      <c r="O105" s="30">
        <v>301</v>
      </c>
      <c r="P105" s="31">
        <f t="shared" si="26"/>
        <v>5089</v>
      </c>
      <c r="Q105"/>
    </row>
    <row r="106" spans="1:18" ht="12.75" hidden="1" customHeight="1" x14ac:dyDescent="0.25">
      <c r="A106"/>
      <c r="B106" s="450"/>
      <c r="C106" s="177" t="s">
        <v>187</v>
      </c>
      <c r="D106" s="29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47</v>
      </c>
      <c r="N106" s="30">
        <v>406</v>
      </c>
      <c r="O106" s="30">
        <v>737</v>
      </c>
      <c r="P106" s="31">
        <f t="shared" si="26"/>
        <v>1190</v>
      </c>
      <c r="Q106"/>
    </row>
    <row r="107" spans="1:18" ht="12.75" hidden="1" customHeight="1" x14ac:dyDescent="0.25">
      <c r="A107"/>
      <c r="B107" s="450"/>
      <c r="C107" s="177" t="s">
        <v>162</v>
      </c>
      <c r="D107" s="29">
        <v>2287</v>
      </c>
      <c r="E107" s="30">
        <v>2686</v>
      </c>
      <c r="F107" s="30">
        <v>5093</v>
      </c>
      <c r="G107" s="30">
        <v>4161</v>
      </c>
      <c r="H107" s="30">
        <v>4336</v>
      </c>
      <c r="I107" s="30">
        <v>4138</v>
      </c>
      <c r="J107" s="30">
        <v>3792</v>
      </c>
      <c r="K107" s="30">
        <v>2575</v>
      </c>
      <c r="L107" s="30">
        <v>1805</v>
      </c>
      <c r="M107" s="30">
        <v>2892</v>
      </c>
      <c r="N107" s="30">
        <v>3379</v>
      </c>
      <c r="O107" s="30">
        <v>3850</v>
      </c>
      <c r="P107" s="31">
        <f t="shared" si="26"/>
        <v>40994</v>
      </c>
      <c r="Q107"/>
    </row>
    <row r="108" spans="1:18" ht="12.75" hidden="1" customHeight="1" x14ac:dyDescent="0.25">
      <c r="A108"/>
      <c r="B108" s="450"/>
      <c r="C108" s="177" t="s">
        <v>149</v>
      </c>
      <c r="D108" s="29">
        <v>1965</v>
      </c>
      <c r="E108" s="30">
        <v>1190</v>
      </c>
      <c r="F108" s="30">
        <v>2470</v>
      </c>
      <c r="G108" s="30">
        <v>2321</v>
      </c>
      <c r="H108" s="30">
        <v>1531</v>
      </c>
      <c r="I108" s="30">
        <v>2070</v>
      </c>
      <c r="J108" s="30">
        <v>2159</v>
      </c>
      <c r="K108" s="30">
        <v>1231</v>
      </c>
      <c r="L108" s="30">
        <v>1290</v>
      </c>
      <c r="M108" s="30">
        <v>1828</v>
      </c>
      <c r="N108" s="30">
        <v>3233</v>
      </c>
      <c r="O108" s="30">
        <v>3303</v>
      </c>
      <c r="P108" s="31">
        <f t="shared" si="26"/>
        <v>24591</v>
      </c>
      <c r="Q108"/>
    </row>
    <row r="109" spans="1:18" ht="12.75" hidden="1" customHeight="1" thickBot="1" x14ac:dyDescent="0.3">
      <c r="A109"/>
      <c r="B109" s="451"/>
      <c r="C109" s="42" t="s">
        <v>0</v>
      </c>
      <c r="D109" s="43">
        <f>SUM(D103:D108)</f>
        <v>11497</v>
      </c>
      <c r="E109" s="43">
        <f t="shared" ref="E109:P109" si="27">SUM(E103:E108)</f>
        <v>7321</v>
      </c>
      <c r="F109" s="43">
        <f t="shared" si="27"/>
        <v>14066</v>
      </c>
      <c r="G109" s="43">
        <f t="shared" si="27"/>
        <v>13890</v>
      </c>
      <c r="H109" s="43">
        <f t="shared" si="27"/>
        <v>13031</v>
      </c>
      <c r="I109" s="43">
        <f t="shared" si="27"/>
        <v>12905</v>
      </c>
      <c r="J109" s="43">
        <f t="shared" si="27"/>
        <v>11950</v>
      </c>
      <c r="K109" s="43">
        <f t="shared" si="27"/>
        <v>8307</v>
      </c>
      <c r="L109" s="43">
        <f t="shared" si="27"/>
        <v>7633</v>
      </c>
      <c r="M109" s="43">
        <f t="shared" si="27"/>
        <v>11528</v>
      </c>
      <c r="N109" s="43">
        <f t="shared" si="27"/>
        <v>11756</v>
      </c>
      <c r="O109" s="43">
        <f t="shared" si="27"/>
        <v>14872</v>
      </c>
      <c r="P109" s="43">
        <f t="shared" si="27"/>
        <v>138756</v>
      </c>
      <c r="Q109"/>
    </row>
    <row r="110" spans="1:18" ht="12.75" hidden="1" customHeight="1" thickBot="1" x14ac:dyDescent="0.3">
      <c r="A110"/>
      <c r="B110" s="433" t="s">
        <v>2</v>
      </c>
      <c r="C110" s="434"/>
      <c r="D110" s="45">
        <f t="shared" ref="D110:O110" si="28">D86+D95+D102+D99+D109</f>
        <v>59501</v>
      </c>
      <c r="E110" s="45">
        <f t="shared" si="28"/>
        <v>52102</v>
      </c>
      <c r="F110" s="45">
        <f t="shared" si="28"/>
        <v>73810</v>
      </c>
      <c r="G110" s="45">
        <f t="shared" si="28"/>
        <v>70219</v>
      </c>
      <c r="H110" s="45">
        <f t="shared" si="28"/>
        <v>62056</v>
      </c>
      <c r="I110" s="45">
        <f t="shared" si="28"/>
        <v>68407</v>
      </c>
      <c r="J110" s="45">
        <f t="shared" si="28"/>
        <v>59856</v>
      </c>
      <c r="K110" s="45">
        <f t="shared" si="28"/>
        <v>51034</v>
      </c>
      <c r="L110" s="45">
        <f t="shared" si="28"/>
        <v>43857</v>
      </c>
      <c r="M110" s="45">
        <f t="shared" si="28"/>
        <v>57813</v>
      </c>
      <c r="N110" s="45">
        <f t="shared" si="28"/>
        <v>62071</v>
      </c>
      <c r="O110" s="45">
        <f t="shared" si="28"/>
        <v>66112</v>
      </c>
      <c r="P110" s="45">
        <f>SUM(P86,P95,P109,P99,P102)</f>
        <v>726838</v>
      </c>
      <c r="Q110"/>
    </row>
    <row r="111" spans="1:18" ht="4.5" hidden="1" customHeight="1" x14ac:dyDescent="0.25">
      <c r="A111"/>
      <c r="J111" s="116"/>
      <c r="Q111"/>
    </row>
    <row r="112" spans="1:18" ht="9.6" hidden="1" customHeight="1" x14ac:dyDescent="0.25">
      <c r="A112"/>
      <c r="B112" s="82" t="s">
        <v>24</v>
      </c>
      <c r="C112" s="83"/>
      <c r="D112" s="84">
        <f t="shared" ref="D112:I112" si="29">SUM(D113:D114)</f>
        <v>6552</v>
      </c>
      <c r="E112" s="84">
        <f t="shared" si="29"/>
        <v>5124</v>
      </c>
      <c r="F112" s="84">
        <f t="shared" si="29"/>
        <v>8454</v>
      </c>
      <c r="G112" s="84">
        <f t="shared" si="29"/>
        <v>7422</v>
      </c>
      <c r="H112" s="84">
        <f t="shared" si="29"/>
        <v>6697</v>
      </c>
      <c r="I112" s="84">
        <f t="shared" si="29"/>
        <v>5973</v>
      </c>
      <c r="J112" s="84">
        <f>SUM(J113:J114,J115)</f>
        <v>5386</v>
      </c>
      <c r="K112" s="84">
        <f>SUM(K113:K115)</f>
        <v>4447</v>
      </c>
      <c r="L112" s="84">
        <f>SUM(L113:L115)</f>
        <v>5217</v>
      </c>
      <c r="M112" s="84">
        <f>SUM(M113:M115)</f>
        <v>3368</v>
      </c>
      <c r="N112" s="84">
        <f>SUM(N113:N115)</f>
        <v>5441</v>
      </c>
      <c r="O112" s="84">
        <f>SUM(O113:O115)</f>
        <v>6955</v>
      </c>
      <c r="P112" s="85">
        <f>SUM(D112:O112)</f>
        <v>71036</v>
      </c>
      <c r="R112" s="284"/>
    </row>
    <row r="113" spans="1:17" ht="9.75" hidden="1" customHeight="1" x14ac:dyDescent="0.25">
      <c r="A113"/>
      <c r="B113" s="86"/>
      <c r="C113" s="87" t="s">
        <v>154</v>
      </c>
      <c r="D113" s="100">
        <v>6104</v>
      </c>
      <c r="E113" s="100">
        <v>4725</v>
      </c>
      <c r="F113" s="88">
        <v>7681</v>
      </c>
      <c r="G113" s="101">
        <v>6666</v>
      </c>
      <c r="H113" s="88">
        <v>6168</v>
      </c>
      <c r="I113" s="98">
        <v>5167</v>
      </c>
      <c r="J113" s="99">
        <v>4692</v>
      </c>
      <c r="K113" s="91">
        <v>3950</v>
      </c>
      <c r="L113" s="91">
        <v>4352</v>
      </c>
      <c r="M113" s="91">
        <v>2978</v>
      </c>
      <c r="N113" s="91">
        <v>4847</v>
      </c>
      <c r="O113" s="91">
        <v>5969</v>
      </c>
      <c r="P113" s="89">
        <f>SUM(D113:O113)</f>
        <v>63299</v>
      </c>
    </row>
    <row r="114" spans="1:17" ht="9.75" hidden="1" customHeight="1" x14ac:dyDescent="0.25">
      <c r="A114"/>
      <c r="B114" s="86"/>
      <c r="C114" s="87" t="s">
        <v>155</v>
      </c>
      <c r="D114" s="88">
        <v>448</v>
      </c>
      <c r="E114" s="88">
        <v>399</v>
      </c>
      <c r="F114" s="88">
        <v>773</v>
      </c>
      <c r="G114" s="88">
        <v>756</v>
      </c>
      <c r="H114" s="88">
        <v>529</v>
      </c>
      <c r="I114" s="88">
        <v>806</v>
      </c>
      <c r="J114" s="88">
        <v>665</v>
      </c>
      <c r="K114" s="88">
        <v>385</v>
      </c>
      <c r="L114" s="88">
        <v>325</v>
      </c>
      <c r="M114" s="88">
        <v>227</v>
      </c>
      <c r="N114" s="88">
        <v>501</v>
      </c>
      <c r="O114" s="88">
        <v>798</v>
      </c>
      <c r="P114" s="89">
        <f>SUM(D114:O114)</f>
        <v>6612</v>
      </c>
    </row>
    <row r="115" spans="1:17" ht="9.75" hidden="1" customHeight="1" x14ac:dyDescent="0.25">
      <c r="A115"/>
      <c r="B115" s="90"/>
      <c r="C115" s="87" t="s">
        <v>177</v>
      </c>
      <c r="D115" s="88">
        <v>0</v>
      </c>
      <c r="E115" s="88">
        <v>0</v>
      </c>
      <c r="F115" s="88">
        <v>0</v>
      </c>
      <c r="G115" s="88">
        <v>0</v>
      </c>
      <c r="H115" s="88">
        <v>0</v>
      </c>
      <c r="I115" s="88">
        <v>0</v>
      </c>
      <c r="J115" s="88">
        <v>29</v>
      </c>
      <c r="K115" s="88">
        <v>112</v>
      </c>
      <c r="L115" s="88">
        <v>540</v>
      </c>
      <c r="M115" s="88">
        <v>163</v>
      </c>
      <c r="N115" s="88">
        <v>93</v>
      </c>
      <c r="O115" s="88">
        <v>188</v>
      </c>
      <c r="P115" s="89">
        <f>SUM(D115:O115)</f>
        <v>1125</v>
      </c>
    </row>
    <row r="116" spans="1:17" ht="4.5" hidden="1" customHeight="1" x14ac:dyDescent="0.25">
      <c r="A116"/>
      <c r="J116" s="116"/>
      <c r="Q116"/>
    </row>
    <row r="117" spans="1:17" ht="10.199999999999999" hidden="1" customHeight="1" x14ac:dyDescent="0.25">
      <c r="A117"/>
      <c r="B117" s="93" t="s">
        <v>25</v>
      </c>
      <c r="C117" s="94"/>
      <c r="D117" s="84">
        <f t="shared" ref="D117:O117" si="30">SUM(D118:D120)</f>
        <v>3612</v>
      </c>
      <c r="E117" s="84">
        <f t="shared" si="30"/>
        <v>4186</v>
      </c>
      <c r="F117" s="84">
        <f t="shared" si="30"/>
        <v>6233</v>
      </c>
      <c r="G117" s="84">
        <f t="shared" si="30"/>
        <v>7068</v>
      </c>
      <c r="H117" s="84">
        <f t="shared" si="30"/>
        <v>5131</v>
      </c>
      <c r="I117" s="84">
        <f t="shared" si="30"/>
        <v>6127</v>
      </c>
      <c r="J117" s="84">
        <f t="shared" si="30"/>
        <v>3712</v>
      </c>
      <c r="K117" s="84">
        <f t="shared" si="30"/>
        <v>4686</v>
      </c>
      <c r="L117" s="84">
        <f t="shared" si="30"/>
        <v>5003</v>
      </c>
      <c r="M117" s="84">
        <f t="shared" si="30"/>
        <v>6136</v>
      </c>
      <c r="N117" s="84">
        <f t="shared" si="30"/>
        <v>5179</v>
      </c>
      <c r="O117" s="84">
        <f t="shared" si="30"/>
        <v>6036</v>
      </c>
      <c r="P117" s="84">
        <f>SUM(D117:O117)</f>
        <v>63109</v>
      </c>
    </row>
    <row r="118" spans="1:17" ht="9.9" hidden="1" customHeight="1" x14ac:dyDescent="0.25">
      <c r="A118"/>
      <c r="B118" s="86"/>
      <c r="C118" s="87" t="s">
        <v>53</v>
      </c>
      <c r="D118" s="123">
        <v>1118</v>
      </c>
      <c r="E118" s="123">
        <v>1254</v>
      </c>
      <c r="F118" s="123">
        <v>2006</v>
      </c>
      <c r="G118" s="88">
        <v>1928</v>
      </c>
      <c r="H118" s="88">
        <v>1078</v>
      </c>
      <c r="I118" s="88">
        <v>2353</v>
      </c>
      <c r="J118" s="88">
        <v>827</v>
      </c>
      <c r="K118" s="88">
        <v>850</v>
      </c>
      <c r="L118" s="88">
        <v>1428</v>
      </c>
      <c r="M118" s="88">
        <v>2116</v>
      </c>
      <c r="N118" s="88">
        <v>330</v>
      </c>
      <c r="O118" s="88">
        <v>1988</v>
      </c>
      <c r="P118" s="89">
        <f>SUM(D118:O118)</f>
        <v>17276</v>
      </c>
    </row>
    <row r="119" spans="1:17" ht="9.9" hidden="1" customHeight="1" x14ac:dyDescent="0.25">
      <c r="A119"/>
      <c r="B119" s="86"/>
      <c r="C119" s="87" t="s">
        <v>137</v>
      </c>
      <c r="D119" s="88">
        <v>2114</v>
      </c>
      <c r="E119" s="88">
        <v>2316</v>
      </c>
      <c r="F119" s="88">
        <v>3806</v>
      </c>
      <c r="G119" s="88">
        <v>4598</v>
      </c>
      <c r="H119" s="88">
        <v>3538</v>
      </c>
      <c r="I119" s="88">
        <v>3112</v>
      </c>
      <c r="J119" s="88">
        <v>2348</v>
      </c>
      <c r="K119" s="88">
        <v>3173</v>
      </c>
      <c r="L119" s="88">
        <v>3063</v>
      </c>
      <c r="M119" s="88">
        <v>3394</v>
      </c>
      <c r="N119" s="88">
        <v>3794</v>
      </c>
      <c r="O119" s="88">
        <v>3141</v>
      </c>
      <c r="P119" s="89">
        <f>SUM(D119:O119)</f>
        <v>38397</v>
      </c>
    </row>
    <row r="120" spans="1:17" ht="9.9" hidden="1" customHeight="1" x14ac:dyDescent="0.25">
      <c r="A120"/>
      <c r="B120" s="90"/>
      <c r="C120" s="87" t="s">
        <v>140</v>
      </c>
      <c r="D120" s="88">
        <v>380</v>
      </c>
      <c r="E120" s="88">
        <v>616</v>
      </c>
      <c r="F120" s="88">
        <v>421</v>
      </c>
      <c r="G120" s="88">
        <v>542</v>
      </c>
      <c r="H120" s="88">
        <v>515</v>
      </c>
      <c r="I120" s="88">
        <v>662</v>
      </c>
      <c r="J120" s="88">
        <v>537</v>
      </c>
      <c r="K120" s="88">
        <v>663</v>
      </c>
      <c r="L120" s="88">
        <v>512</v>
      </c>
      <c r="M120" s="88">
        <v>626</v>
      </c>
      <c r="N120" s="88">
        <v>1055</v>
      </c>
      <c r="O120" s="88">
        <v>907</v>
      </c>
      <c r="P120" s="89">
        <f>SUM(D120:O120)</f>
        <v>7436</v>
      </c>
    </row>
    <row r="121" spans="1:17" ht="6" hidden="1" customHeight="1" x14ac:dyDescent="0.25">
      <c r="A121"/>
      <c r="B121" s="102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7"/>
    </row>
    <row r="122" spans="1:17" ht="11.4" hidden="1" customHeight="1" x14ac:dyDescent="0.25">
      <c r="A122"/>
      <c r="B122" s="82" t="s">
        <v>27</v>
      </c>
      <c r="C122" s="83"/>
      <c r="D122" s="84">
        <f t="shared" ref="D122:O122" si="31">SUM(D123:D124)</f>
        <v>8081</v>
      </c>
      <c r="E122" s="84">
        <f t="shared" si="31"/>
        <v>8563</v>
      </c>
      <c r="F122" s="84">
        <f t="shared" si="31"/>
        <v>9217</v>
      </c>
      <c r="G122" s="84">
        <f t="shared" si="31"/>
        <v>9684</v>
      </c>
      <c r="H122" s="84">
        <f t="shared" si="31"/>
        <v>7802</v>
      </c>
      <c r="I122" s="84">
        <f t="shared" si="31"/>
        <v>9483</v>
      </c>
      <c r="J122" s="84">
        <f t="shared" si="31"/>
        <v>5247</v>
      </c>
      <c r="K122" s="84">
        <f t="shared" si="31"/>
        <v>3685</v>
      </c>
      <c r="L122" s="84">
        <f t="shared" si="31"/>
        <v>3216</v>
      </c>
      <c r="M122" s="84">
        <f t="shared" si="31"/>
        <v>9448</v>
      </c>
      <c r="N122" s="84">
        <f t="shared" si="31"/>
        <v>6918</v>
      </c>
      <c r="O122" s="84">
        <f t="shared" si="31"/>
        <v>7740</v>
      </c>
      <c r="P122" s="84">
        <f>SUM(D122:O122)</f>
        <v>89084</v>
      </c>
    </row>
    <row r="123" spans="1:17" ht="9.75" hidden="1" customHeight="1" x14ac:dyDescent="0.25">
      <c r="A123"/>
      <c r="B123" s="86"/>
      <c r="C123" s="148" t="s">
        <v>80</v>
      </c>
      <c r="D123" s="149">
        <v>5844</v>
      </c>
      <c r="E123" s="149">
        <v>6155</v>
      </c>
      <c r="F123" s="150">
        <v>6588</v>
      </c>
      <c r="G123" s="151">
        <v>7293</v>
      </c>
      <c r="H123" s="150">
        <v>5769</v>
      </c>
      <c r="I123" s="152">
        <v>6830</v>
      </c>
      <c r="J123" s="152">
        <v>3936</v>
      </c>
      <c r="K123" s="150">
        <v>1968</v>
      </c>
      <c r="L123" s="150">
        <v>1293</v>
      </c>
      <c r="M123" s="150">
        <v>6311</v>
      </c>
      <c r="N123" s="150">
        <v>4582</v>
      </c>
      <c r="O123" s="150">
        <v>5538</v>
      </c>
      <c r="P123" s="153">
        <f>SUM(D123:O123)</f>
        <v>62107</v>
      </c>
    </row>
    <row r="124" spans="1:17" ht="9.75" hidden="1" customHeight="1" x14ac:dyDescent="0.25">
      <c r="A124"/>
      <c r="B124" s="90"/>
      <c r="C124" s="87" t="s">
        <v>141</v>
      </c>
      <c r="D124" s="100">
        <v>2237</v>
      </c>
      <c r="E124" s="100">
        <v>2408</v>
      </c>
      <c r="F124" s="88">
        <v>2629</v>
      </c>
      <c r="G124" s="101">
        <v>2391</v>
      </c>
      <c r="H124" s="88">
        <v>2033</v>
      </c>
      <c r="I124" s="98">
        <v>2653</v>
      </c>
      <c r="J124" s="99">
        <v>1311</v>
      </c>
      <c r="K124" s="91">
        <v>1717</v>
      </c>
      <c r="L124" s="91">
        <v>1923</v>
      </c>
      <c r="M124" s="91">
        <v>3137</v>
      </c>
      <c r="N124" s="91">
        <v>2336</v>
      </c>
      <c r="O124" s="91">
        <v>2202</v>
      </c>
      <c r="P124" s="89">
        <f>SUM(D124:O124)</f>
        <v>26977</v>
      </c>
    </row>
    <row r="125" spans="1:17" ht="6" hidden="1" customHeight="1" x14ac:dyDescent="0.25">
      <c r="A125"/>
      <c r="B125" s="102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7"/>
    </row>
    <row r="126" spans="1:17" ht="9.9" hidden="1" customHeight="1" x14ac:dyDescent="0.25">
      <c r="B126" s="82" t="s">
        <v>114</v>
      </c>
      <c r="C126" s="83"/>
      <c r="D126" s="84">
        <f t="shared" ref="D126:O126" si="32">SUM(D127:D130)</f>
        <v>1196</v>
      </c>
      <c r="E126" s="84">
        <f t="shared" si="32"/>
        <v>1266</v>
      </c>
      <c r="F126" s="84">
        <f t="shared" si="32"/>
        <v>2175</v>
      </c>
      <c r="G126" s="84">
        <f t="shared" si="32"/>
        <v>1494</v>
      </c>
      <c r="H126" s="84">
        <f t="shared" si="32"/>
        <v>798</v>
      </c>
      <c r="I126" s="84">
        <f t="shared" si="32"/>
        <v>639</v>
      </c>
      <c r="J126" s="84">
        <f t="shared" si="32"/>
        <v>699</v>
      </c>
      <c r="K126" s="84">
        <f t="shared" si="32"/>
        <v>882</v>
      </c>
      <c r="L126" s="84">
        <f t="shared" si="32"/>
        <v>347</v>
      </c>
      <c r="M126" s="84">
        <f t="shared" si="32"/>
        <v>975</v>
      </c>
      <c r="N126" s="84">
        <f t="shared" si="32"/>
        <v>595</v>
      </c>
      <c r="O126" s="84">
        <f t="shared" si="32"/>
        <v>1178</v>
      </c>
      <c r="P126" s="85">
        <f>SUM(D126:O126)</f>
        <v>12244</v>
      </c>
    </row>
    <row r="127" spans="1:17" ht="9.9" hidden="1" customHeight="1" x14ac:dyDescent="0.25">
      <c r="B127" s="86"/>
      <c r="C127" s="87" t="s">
        <v>129</v>
      </c>
      <c r="D127" s="100">
        <v>911</v>
      </c>
      <c r="E127" s="100">
        <v>860</v>
      </c>
      <c r="F127" s="88">
        <v>1060</v>
      </c>
      <c r="G127" s="101">
        <v>839</v>
      </c>
      <c r="H127" s="88">
        <v>553</v>
      </c>
      <c r="I127" s="98">
        <v>522</v>
      </c>
      <c r="J127" s="99">
        <v>607</v>
      </c>
      <c r="K127" s="91">
        <v>718</v>
      </c>
      <c r="L127" s="91">
        <v>332</v>
      </c>
      <c r="M127" s="91">
        <v>648</v>
      </c>
      <c r="N127" s="91">
        <v>480</v>
      </c>
      <c r="O127" s="91">
        <v>912</v>
      </c>
      <c r="P127" s="89">
        <f>SUM(D127:O127)</f>
        <v>8442</v>
      </c>
    </row>
    <row r="128" spans="1:17" ht="9.9" hidden="1" customHeight="1" x14ac:dyDescent="0.25">
      <c r="B128" s="86"/>
      <c r="C128" s="87" t="s">
        <v>143</v>
      </c>
      <c r="D128" s="100">
        <v>277</v>
      </c>
      <c r="E128" s="100">
        <v>239</v>
      </c>
      <c r="F128" s="88">
        <v>306</v>
      </c>
      <c r="G128" s="101">
        <v>258</v>
      </c>
      <c r="H128" s="88">
        <v>197</v>
      </c>
      <c r="I128" s="98">
        <v>92</v>
      </c>
      <c r="J128" s="98">
        <v>90</v>
      </c>
      <c r="K128" s="88">
        <v>110</v>
      </c>
      <c r="L128" s="88">
        <v>4</v>
      </c>
      <c r="M128" s="88">
        <v>264</v>
      </c>
      <c r="N128" s="88">
        <v>52</v>
      </c>
      <c r="O128" s="88">
        <v>224</v>
      </c>
      <c r="P128" s="89">
        <f>SUM(D128:O128)</f>
        <v>2113</v>
      </c>
    </row>
    <row r="129" spans="1:17" ht="9.9" hidden="1" customHeight="1" x14ac:dyDescent="0.25">
      <c r="B129" s="86"/>
      <c r="C129" s="87" t="s">
        <v>144</v>
      </c>
      <c r="D129" s="100">
        <v>8</v>
      </c>
      <c r="E129" s="100">
        <v>167</v>
      </c>
      <c r="F129" s="88">
        <v>809</v>
      </c>
      <c r="G129" s="101">
        <v>397</v>
      </c>
      <c r="H129" s="88">
        <v>48</v>
      </c>
      <c r="I129" s="98">
        <v>0</v>
      </c>
      <c r="J129" s="98">
        <v>-1</v>
      </c>
      <c r="K129" s="88">
        <v>0</v>
      </c>
      <c r="L129" s="88">
        <v>0</v>
      </c>
      <c r="M129" s="88">
        <v>0</v>
      </c>
      <c r="N129" s="88">
        <v>0</v>
      </c>
      <c r="O129" s="88">
        <v>0</v>
      </c>
      <c r="P129" s="89">
        <f>SUM(D129:O129)</f>
        <v>1428</v>
      </c>
    </row>
    <row r="130" spans="1:17" ht="9.9" hidden="1" customHeight="1" x14ac:dyDescent="0.25">
      <c r="B130" s="90"/>
      <c r="C130" s="87" t="s">
        <v>177</v>
      </c>
      <c r="D130" s="100">
        <v>0</v>
      </c>
      <c r="E130" s="100">
        <v>0</v>
      </c>
      <c r="F130" s="88">
        <v>0</v>
      </c>
      <c r="G130" s="101">
        <v>0</v>
      </c>
      <c r="H130" s="88">
        <v>0</v>
      </c>
      <c r="I130" s="98">
        <v>25</v>
      </c>
      <c r="J130" s="98">
        <v>3</v>
      </c>
      <c r="K130" s="88">
        <v>54</v>
      </c>
      <c r="L130" s="88">
        <v>11</v>
      </c>
      <c r="M130" s="88">
        <v>63</v>
      </c>
      <c r="N130" s="88">
        <v>63</v>
      </c>
      <c r="O130" s="88">
        <v>42</v>
      </c>
      <c r="P130" s="89">
        <f>SUM(D130:O130)</f>
        <v>261</v>
      </c>
    </row>
    <row r="131" spans="1:17" s="208" customFormat="1" ht="6.6" hidden="1" customHeight="1" x14ac:dyDescent="0.25">
      <c r="A131" s="203"/>
      <c r="B131" s="102"/>
      <c r="C131" s="102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6"/>
      <c r="Q131" s="207"/>
    </row>
    <row r="132" spans="1:17" ht="9.9" hidden="1" customHeight="1" x14ac:dyDescent="0.25">
      <c r="B132" s="82" t="s">
        <v>60</v>
      </c>
      <c r="C132" s="83"/>
      <c r="D132" s="84">
        <f t="shared" ref="D132:O132" si="33">SUM(D133:D134)</f>
        <v>6733</v>
      </c>
      <c r="E132" s="84">
        <f t="shared" si="33"/>
        <v>5869</v>
      </c>
      <c r="F132" s="84">
        <f t="shared" si="33"/>
        <v>4985</v>
      </c>
      <c r="G132" s="84">
        <f t="shared" si="33"/>
        <v>4478</v>
      </c>
      <c r="H132" s="84">
        <f t="shared" si="33"/>
        <v>2988</v>
      </c>
      <c r="I132" s="84">
        <f t="shared" si="33"/>
        <v>3338</v>
      </c>
      <c r="J132" s="84">
        <f t="shared" si="33"/>
        <v>3972</v>
      </c>
      <c r="K132" s="84">
        <f t="shared" si="33"/>
        <v>3821</v>
      </c>
      <c r="L132" s="84">
        <f t="shared" si="33"/>
        <v>2093</v>
      </c>
      <c r="M132" s="84">
        <f t="shared" si="33"/>
        <v>2911</v>
      </c>
      <c r="N132" s="84">
        <f t="shared" si="33"/>
        <v>3861</v>
      </c>
      <c r="O132" s="84">
        <f t="shared" si="33"/>
        <v>3327</v>
      </c>
      <c r="P132" s="85">
        <f>SUM(D132:O132)</f>
        <v>48376</v>
      </c>
    </row>
    <row r="133" spans="1:17" ht="9.9" hidden="1" customHeight="1" x14ac:dyDescent="0.25">
      <c r="B133" s="86"/>
      <c r="C133" s="87" t="s">
        <v>157</v>
      </c>
      <c r="D133" s="100">
        <v>4415</v>
      </c>
      <c r="E133" s="100">
        <v>4209</v>
      </c>
      <c r="F133" s="88">
        <v>3380</v>
      </c>
      <c r="G133" s="101">
        <v>3330</v>
      </c>
      <c r="H133" s="88">
        <v>2167</v>
      </c>
      <c r="I133" s="98">
        <v>2471</v>
      </c>
      <c r="J133" s="98">
        <v>2689</v>
      </c>
      <c r="K133" s="88">
        <v>2542</v>
      </c>
      <c r="L133" s="88">
        <v>1567</v>
      </c>
      <c r="M133" s="88">
        <v>1776</v>
      </c>
      <c r="N133" s="88">
        <v>2052</v>
      </c>
      <c r="O133" s="88">
        <v>2206</v>
      </c>
      <c r="P133" s="89">
        <f>SUM(D133:O133)</f>
        <v>32804</v>
      </c>
    </row>
    <row r="134" spans="1:17" ht="9.9" hidden="1" customHeight="1" x14ac:dyDescent="0.25">
      <c r="B134" s="90"/>
      <c r="C134" s="87" t="s">
        <v>158</v>
      </c>
      <c r="D134" s="100">
        <v>2318</v>
      </c>
      <c r="E134" s="100">
        <v>1660</v>
      </c>
      <c r="F134" s="88">
        <v>1605</v>
      </c>
      <c r="G134" s="101">
        <v>1148</v>
      </c>
      <c r="H134" s="88">
        <v>821</v>
      </c>
      <c r="I134" s="98">
        <v>867</v>
      </c>
      <c r="J134" s="98">
        <v>1283</v>
      </c>
      <c r="K134" s="88">
        <v>1279</v>
      </c>
      <c r="L134" s="88">
        <v>526</v>
      </c>
      <c r="M134" s="88">
        <v>1135</v>
      </c>
      <c r="N134" s="88">
        <v>1809</v>
      </c>
      <c r="O134" s="88">
        <v>1121</v>
      </c>
      <c r="P134" s="89">
        <f>SUM(D134:O134)</f>
        <v>15572</v>
      </c>
    </row>
    <row r="135" spans="1:17" s="208" customFormat="1" ht="6.6" hidden="1" customHeight="1" x14ac:dyDescent="0.25">
      <c r="A135" s="203"/>
      <c r="B135" s="102"/>
      <c r="C135" s="102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6"/>
      <c r="Q135" s="207"/>
    </row>
    <row r="136" spans="1:17" ht="9.9" hidden="1" customHeight="1" x14ac:dyDescent="0.25">
      <c r="B136" s="82" t="s">
        <v>180</v>
      </c>
      <c r="C136" s="83"/>
      <c r="D136" s="273">
        <f t="shared" ref="D136:I136" si="34">SUM(D137,D138)</f>
        <v>4313</v>
      </c>
      <c r="E136" s="273">
        <f t="shared" si="34"/>
        <v>2781</v>
      </c>
      <c r="F136" s="273">
        <f t="shared" si="34"/>
        <v>4274</v>
      </c>
      <c r="G136" s="273">
        <f t="shared" si="34"/>
        <v>4096</v>
      </c>
      <c r="H136" s="273">
        <f t="shared" si="34"/>
        <v>3479</v>
      </c>
      <c r="I136" s="273">
        <f t="shared" si="34"/>
        <v>2780</v>
      </c>
      <c r="J136" s="84">
        <f t="shared" ref="J136:O136" si="35">SUM(J137:J138)</f>
        <v>4452</v>
      </c>
      <c r="K136" s="84">
        <f t="shared" si="35"/>
        <v>3322</v>
      </c>
      <c r="L136" s="84">
        <f t="shared" si="35"/>
        <v>2189</v>
      </c>
      <c r="M136" s="84">
        <f t="shared" si="35"/>
        <v>3494</v>
      </c>
      <c r="N136" s="84">
        <f t="shared" si="35"/>
        <v>2895</v>
      </c>
      <c r="O136" s="84">
        <f t="shared" si="35"/>
        <v>3525</v>
      </c>
      <c r="P136" s="85">
        <f>SUM(D136:O136)</f>
        <v>41600</v>
      </c>
    </row>
    <row r="137" spans="1:17" ht="9.9" hidden="1" customHeight="1" x14ac:dyDescent="0.25">
      <c r="B137" s="86"/>
      <c r="C137" s="87" t="s">
        <v>124</v>
      </c>
      <c r="D137" s="88">
        <v>4313</v>
      </c>
      <c r="E137" s="88">
        <v>2781</v>
      </c>
      <c r="F137" s="88">
        <v>4274</v>
      </c>
      <c r="G137" s="88">
        <v>4096</v>
      </c>
      <c r="H137" s="88">
        <v>3479</v>
      </c>
      <c r="I137" s="88">
        <v>2780</v>
      </c>
      <c r="J137" s="98">
        <v>2392</v>
      </c>
      <c r="K137" s="88">
        <v>1281</v>
      </c>
      <c r="L137" s="88">
        <v>853</v>
      </c>
      <c r="M137" s="88">
        <v>2151</v>
      </c>
      <c r="N137" s="88">
        <v>1478</v>
      </c>
      <c r="O137" s="88">
        <v>2016</v>
      </c>
      <c r="P137" s="279">
        <f>SUM(D137:O137)</f>
        <v>31894</v>
      </c>
    </row>
    <row r="138" spans="1:17" ht="9.9" hidden="1" customHeight="1" x14ac:dyDescent="0.25">
      <c r="B138" s="90"/>
      <c r="C138" s="87" t="s">
        <v>181</v>
      </c>
      <c r="D138" s="274">
        <v>0</v>
      </c>
      <c r="E138" s="274">
        <v>0</v>
      </c>
      <c r="F138" s="275">
        <v>0</v>
      </c>
      <c r="G138" s="276">
        <v>0</v>
      </c>
      <c r="H138" s="275">
        <v>0</v>
      </c>
      <c r="I138" s="277">
        <v>0</v>
      </c>
      <c r="J138" s="98">
        <v>2060</v>
      </c>
      <c r="K138" s="88">
        <v>2041</v>
      </c>
      <c r="L138" s="88">
        <v>1336</v>
      </c>
      <c r="M138" s="88">
        <v>1343</v>
      </c>
      <c r="N138" s="88">
        <v>1417</v>
      </c>
      <c r="O138" s="88">
        <v>1509</v>
      </c>
      <c r="P138" s="279">
        <f>SUM(D138:O138)</f>
        <v>9706</v>
      </c>
    </row>
    <row r="139" spans="1:17" s="208" customFormat="1" ht="7.2" hidden="1" customHeight="1" x14ac:dyDescent="0.25">
      <c r="A139" s="203"/>
      <c r="B139" s="102"/>
      <c r="C139" s="102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6"/>
      <c r="Q139" s="207"/>
    </row>
    <row r="140" spans="1:17" ht="10.199999999999999" hidden="1" customHeight="1" x14ac:dyDescent="0.25">
      <c r="B140" s="82" t="s">
        <v>118</v>
      </c>
      <c r="C140" s="83"/>
      <c r="D140" s="84">
        <f t="shared" ref="D140:O140" si="36">SUM(D141:D143)</f>
        <v>5650</v>
      </c>
      <c r="E140" s="84">
        <f t="shared" si="36"/>
        <v>2714</v>
      </c>
      <c r="F140" s="84">
        <f t="shared" si="36"/>
        <v>5252</v>
      </c>
      <c r="G140" s="84">
        <f t="shared" si="36"/>
        <v>6009</v>
      </c>
      <c r="H140" s="84">
        <f t="shared" si="36"/>
        <v>5584</v>
      </c>
      <c r="I140" s="84">
        <f t="shared" si="36"/>
        <v>5357</v>
      </c>
      <c r="J140" s="84">
        <f t="shared" si="36"/>
        <v>5028</v>
      </c>
      <c r="K140" s="84">
        <f t="shared" si="36"/>
        <v>3718</v>
      </c>
      <c r="L140" s="84">
        <f t="shared" si="36"/>
        <v>3892</v>
      </c>
      <c r="M140" s="84">
        <f t="shared" si="36"/>
        <v>6119</v>
      </c>
      <c r="N140" s="84">
        <f t="shared" si="36"/>
        <v>3946</v>
      </c>
      <c r="O140" s="84">
        <f t="shared" si="36"/>
        <v>6194</v>
      </c>
      <c r="P140" s="84">
        <f>SUM(D140:O140)</f>
        <v>59463</v>
      </c>
    </row>
    <row r="141" spans="1:17" ht="8.4" hidden="1" customHeight="1" x14ac:dyDescent="0.25">
      <c r="B141" s="86"/>
      <c r="C141" s="87" t="s">
        <v>151</v>
      </c>
      <c r="D141" s="100">
        <v>0</v>
      </c>
      <c r="E141" s="100">
        <v>0</v>
      </c>
      <c r="F141" s="88">
        <v>0</v>
      </c>
      <c r="G141" s="101">
        <v>-1</v>
      </c>
      <c r="H141" s="88">
        <v>0</v>
      </c>
      <c r="I141" s="98">
        <v>0</v>
      </c>
      <c r="J141" s="98">
        <v>0</v>
      </c>
      <c r="K141" s="88">
        <v>0</v>
      </c>
      <c r="L141" s="88">
        <v>0</v>
      </c>
      <c r="M141" s="88">
        <v>0</v>
      </c>
      <c r="N141" s="88">
        <v>0</v>
      </c>
      <c r="O141" s="88">
        <v>0</v>
      </c>
      <c r="P141" s="278">
        <f>SUM(D141:O141)</f>
        <v>-1</v>
      </c>
    </row>
    <row r="142" spans="1:17" ht="9.9" hidden="1" customHeight="1" x14ac:dyDescent="0.25">
      <c r="B142" s="86"/>
      <c r="C142" s="87" t="s">
        <v>152</v>
      </c>
      <c r="D142" s="100">
        <v>5650</v>
      </c>
      <c r="E142" s="100">
        <v>2714</v>
      </c>
      <c r="F142" s="100">
        <v>5252</v>
      </c>
      <c r="G142" s="100">
        <v>6010</v>
      </c>
      <c r="H142" s="100">
        <v>5584</v>
      </c>
      <c r="I142" s="100">
        <v>5357</v>
      </c>
      <c r="J142" s="100">
        <v>4993</v>
      </c>
      <c r="K142" s="100">
        <v>3576</v>
      </c>
      <c r="L142" s="100">
        <v>3757</v>
      </c>
      <c r="M142" s="100">
        <v>5583</v>
      </c>
      <c r="N142" s="91">
        <v>3671</v>
      </c>
      <c r="O142" s="91">
        <v>5964</v>
      </c>
      <c r="P142" s="278">
        <f>SUM(D142:O142)</f>
        <v>58111</v>
      </c>
    </row>
    <row r="143" spans="1:17" s="16" customFormat="1" ht="8.4" hidden="1" customHeight="1" x14ac:dyDescent="0.25">
      <c r="A143" s="20"/>
      <c r="B143" s="90"/>
      <c r="C143" s="87" t="s">
        <v>144</v>
      </c>
      <c r="D143" s="100">
        <v>0</v>
      </c>
      <c r="E143" s="100">
        <v>0</v>
      </c>
      <c r="F143" s="100">
        <v>0</v>
      </c>
      <c r="G143" s="100">
        <v>0</v>
      </c>
      <c r="H143" s="100">
        <v>0</v>
      </c>
      <c r="I143" s="100">
        <v>0</v>
      </c>
      <c r="J143" s="100">
        <v>35</v>
      </c>
      <c r="K143" s="100">
        <v>142</v>
      </c>
      <c r="L143" s="100">
        <v>135</v>
      </c>
      <c r="M143" s="100">
        <v>536</v>
      </c>
      <c r="N143" s="91">
        <v>275</v>
      </c>
      <c r="O143" s="91">
        <v>230</v>
      </c>
      <c r="P143" s="278">
        <f>SUM(D143:O143)</f>
        <v>1353</v>
      </c>
      <c r="Q143" s="113"/>
    </row>
    <row r="144" spans="1:17" ht="6.6" hidden="1" customHeight="1" x14ac:dyDescent="0.25">
      <c r="A144" s="191"/>
      <c r="B144" s="192"/>
      <c r="C144" s="192"/>
      <c r="D144" s="193"/>
      <c r="E144" s="193"/>
      <c r="F144" s="193"/>
      <c r="G144" s="193"/>
      <c r="H144" s="193"/>
      <c r="I144" s="193"/>
      <c r="J144" s="194"/>
      <c r="K144" s="194"/>
      <c r="L144" s="194"/>
      <c r="M144" s="194"/>
      <c r="N144" s="194"/>
      <c r="O144" s="194"/>
      <c r="P144" s="195"/>
    </row>
    <row r="145" spans="1:17" ht="10.199999999999999" hidden="1" customHeight="1" x14ac:dyDescent="0.25">
      <c r="B145" s="82" t="s">
        <v>12</v>
      </c>
      <c r="C145" s="83"/>
      <c r="D145" s="84">
        <f t="shared" ref="D145:O145" si="37">SUM(D146:D147)</f>
        <v>7952</v>
      </c>
      <c r="E145" s="84">
        <f t="shared" si="37"/>
        <v>7626</v>
      </c>
      <c r="F145" s="84">
        <f t="shared" si="37"/>
        <v>11213</v>
      </c>
      <c r="G145" s="84">
        <f t="shared" si="37"/>
        <v>9182</v>
      </c>
      <c r="H145" s="84">
        <f t="shared" si="37"/>
        <v>6930</v>
      </c>
      <c r="I145" s="84">
        <f t="shared" si="37"/>
        <v>9208</v>
      </c>
      <c r="J145" s="84">
        <f t="shared" si="37"/>
        <v>8804</v>
      </c>
      <c r="K145" s="84">
        <f t="shared" si="37"/>
        <v>7424</v>
      </c>
      <c r="L145" s="84">
        <f t="shared" si="37"/>
        <v>4916</v>
      </c>
      <c r="M145" s="84">
        <f t="shared" si="37"/>
        <v>4042</v>
      </c>
      <c r="N145" s="84">
        <f t="shared" si="37"/>
        <v>7288</v>
      </c>
      <c r="O145" s="84">
        <f t="shared" si="37"/>
        <v>7633</v>
      </c>
      <c r="P145" s="85">
        <f>SUM(D145:O145)</f>
        <v>92218</v>
      </c>
    </row>
    <row r="146" spans="1:17" ht="9" hidden="1" customHeight="1" x14ac:dyDescent="0.25">
      <c r="B146" s="86"/>
      <c r="C146" s="87" t="s">
        <v>12</v>
      </c>
      <c r="D146" s="100">
        <v>7896</v>
      </c>
      <c r="E146" s="100">
        <v>5731</v>
      </c>
      <c r="F146" s="88">
        <v>8751</v>
      </c>
      <c r="G146" s="101">
        <v>7607</v>
      </c>
      <c r="H146" s="88">
        <v>5918</v>
      </c>
      <c r="I146" s="98">
        <v>7654</v>
      </c>
      <c r="J146" s="98">
        <v>7396</v>
      </c>
      <c r="K146" s="88">
        <v>6217</v>
      </c>
      <c r="L146" s="88">
        <v>4259</v>
      </c>
      <c r="M146" s="88">
        <v>2726</v>
      </c>
      <c r="N146" s="88">
        <v>5769</v>
      </c>
      <c r="O146" s="88">
        <v>6489</v>
      </c>
      <c r="P146" s="89">
        <f>SUM(D146:O146)</f>
        <v>76413</v>
      </c>
      <c r="Q146"/>
    </row>
    <row r="147" spans="1:17" ht="8.4" hidden="1" customHeight="1" x14ac:dyDescent="0.25">
      <c r="B147" s="90"/>
      <c r="C147" s="87" t="s">
        <v>144</v>
      </c>
      <c r="D147" s="100">
        <v>56</v>
      </c>
      <c r="E147" s="100">
        <v>1895</v>
      </c>
      <c r="F147" s="100">
        <v>2462</v>
      </c>
      <c r="G147" s="100">
        <v>1575</v>
      </c>
      <c r="H147" s="100">
        <v>1012</v>
      </c>
      <c r="I147" s="100">
        <v>1554</v>
      </c>
      <c r="J147" s="100">
        <v>1408</v>
      </c>
      <c r="K147" s="100">
        <v>1207</v>
      </c>
      <c r="L147" s="100">
        <v>657</v>
      </c>
      <c r="M147" s="100">
        <v>1316</v>
      </c>
      <c r="N147" s="91">
        <v>1519</v>
      </c>
      <c r="O147" s="91">
        <v>1144</v>
      </c>
      <c r="P147" s="89">
        <f>SUM(D147:O147)</f>
        <v>15805</v>
      </c>
      <c r="Q147"/>
    </row>
    <row r="148" spans="1:17" ht="12.6" hidden="1" customHeight="1" x14ac:dyDescent="0.25">
      <c r="A148" s="16"/>
      <c r="B148" s="16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6"/>
      <c r="Q148"/>
    </row>
    <row r="149" spans="1:17" ht="12.75" hidden="1" customHeight="1" thickBot="1" x14ac:dyDescent="0.3">
      <c r="B149" s="18" t="s">
        <v>148</v>
      </c>
      <c r="C149" s="18"/>
      <c r="Q149"/>
    </row>
    <row r="150" spans="1:17" ht="12.75" hidden="1" customHeight="1" thickBot="1" x14ac:dyDescent="0.3">
      <c r="B150" s="446" t="s">
        <v>1</v>
      </c>
      <c r="C150" s="447"/>
      <c r="D150" s="21">
        <v>1</v>
      </c>
      <c r="E150" s="22">
        <v>2</v>
      </c>
      <c r="F150" s="22">
        <v>3</v>
      </c>
      <c r="G150" s="22">
        <v>4</v>
      </c>
      <c r="H150" s="22">
        <v>5</v>
      </c>
      <c r="I150" s="22">
        <v>6</v>
      </c>
      <c r="J150" s="22">
        <v>7</v>
      </c>
      <c r="K150" s="22">
        <v>8</v>
      </c>
      <c r="L150" s="22">
        <v>9</v>
      </c>
      <c r="M150" s="22">
        <v>10</v>
      </c>
      <c r="N150" s="22">
        <v>11</v>
      </c>
      <c r="O150" s="22">
        <v>12</v>
      </c>
      <c r="P150" s="23" t="s">
        <v>0</v>
      </c>
      <c r="Q150"/>
    </row>
    <row r="151" spans="1:17" ht="12.75" hidden="1" customHeight="1" x14ac:dyDescent="0.25">
      <c r="B151" s="445" t="s">
        <v>46</v>
      </c>
      <c r="C151" s="175" t="s">
        <v>21</v>
      </c>
      <c r="D151" s="39">
        <v>0</v>
      </c>
      <c r="E151" s="40">
        <v>0</v>
      </c>
      <c r="F151" s="39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/>
      <c r="N151" s="40"/>
      <c r="O151" s="40"/>
      <c r="P151" s="41">
        <f t="shared" ref="P151:P158" si="38">SUM(D151:O151)</f>
        <v>0</v>
      </c>
      <c r="Q151"/>
    </row>
    <row r="152" spans="1:17" ht="12.75" hidden="1" customHeight="1" x14ac:dyDescent="0.25">
      <c r="A152"/>
      <c r="B152" s="443"/>
      <c r="C152" s="176" t="s">
        <v>22</v>
      </c>
      <c r="D152" s="76">
        <f>31+55</f>
        <v>86</v>
      </c>
      <c r="E152" s="77">
        <f>88+52</f>
        <v>140</v>
      </c>
      <c r="F152" s="76">
        <f>101+88</f>
        <v>189</v>
      </c>
      <c r="G152" s="77">
        <f>116+112</f>
        <v>228</v>
      </c>
      <c r="H152" s="77">
        <f>142+85</f>
        <v>227</v>
      </c>
      <c r="I152" s="77">
        <f>174+267</f>
        <v>441</v>
      </c>
      <c r="J152" s="77">
        <v>262</v>
      </c>
      <c r="K152" s="77">
        <v>95</v>
      </c>
      <c r="L152" s="79">
        <v>298</v>
      </c>
      <c r="M152" s="77">
        <v>207</v>
      </c>
      <c r="N152" s="77">
        <v>99</v>
      </c>
      <c r="O152" s="77">
        <v>69</v>
      </c>
      <c r="P152" s="78">
        <f t="shared" si="38"/>
        <v>2341</v>
      </c>
      <c r="Q152"/>
    </row>
    <row r="153" spans="1:17" ht="12.75" hidden="1" customHeight="1" x14ac:dyDescent="0.25">
      <c r="A153"/>
      <c r="B153" s="443"/>
      <c r="C153" s="176" t="s">
        <v>24</v>
      </c>
      <c r="D153" s="76">
        <v>2638</v>
      </c>
      <c r="E153" s="76">
        <v>2575</v>
      </c>
      <c r="F153" s="76">
        <v>3886</v>
      </c>
      <c r="G153" s="76">
        <v>8249</v>
      </c>
      <c r="H153" s="76">
        <v>9382</v>
      </c>
      <c r="I153" s="76">
        <v>10875</v>
      </c>
      <c r="J153" s="76">
        <v>11037</v>
      </c>
      <c r="K153" s="76">
        <v>5792</v>
      </c>
      <c r="L153" s="76">
        <v>9136</v>
      </c>
      <c r="M153" s="76">
        <v>8316</v>
      </c>
      <c r="N153" s="76">
        <v>7477</v>
      </c>
      <c r="O153" s="76">
        <v>8368</v>
      </c>
      <c r="P153" s="31">
        <f t="shared" si="38"/>
        <v>87731</v>
      </c>
      <c r="Q153"/>
    </row>
    <row r="154" spans="1:17" ht="12.75" hidden="1" customHeight="1" x14ac:dyDescent="0.25">
      <c r="A154"/>
      <c r="B154" s="443"/>
      <c r="C154" s="176" t="s">
        <v>69</v>
      </c>
      <c r="D154" s="76">
        <v>164</v>
      </c>
      <c r="E154" s="76">
        <v>188</v>
      </c>
      <c r="F154" s="76">
        <f>409+276</f>
        <v>685</v>
      </c>
      <c r="G154" s="76">
        <v>555</v>
      </c>
      <c r="H154" s="76">
        <v>183</v>
      </c>
      <c r="I154" s="76">
        <v>280</v>
      </c>
      <c r="J154" s="76">
        <v>268</v>
      </c>
      <c r="K154" s="76">
        <v>264</v>
      </c>
      <c r="L154" s="76">
        <v>233</v>
      </c>
      <c r="M154" s="76">
        <v>234</v>
      </c>
      <c r="N154" s="76">
        <v>540</v>
      </c>
      <c r="O154" s="76">
        <v>21</v>
      </c>
      <c r="P154" s="27">
        <f t="shared" si="38"/>
        <v>3615</v>
      </c>
      <c r="Q154"/>
    </row>
    <row r="155" spans="1:17" ht="12.75" hidden="1" customHeight="1" x14ac:dyDescent="0.25">
      <c r="A155"/>
      <c r="B155" s="443"/>
      <c r="C155" s="177" t="s">
        <v>3</v>
      </c>
      <c r="D155" s="29">
        <v>30</v>
      </c>
      <c r="E155" s="30">
        <v>32</v>
      </c>
      <c r="F155" s="29">
        <v>67</v>
      </c>
      <c r="G155" s="30">
        <v>45</v>
      </c>
      <c r="H155" s="30">
        <v>45</v>
      </c>
      <c r="I155" s="30">
        <v>59</v>
      </c>
      <c r="J155" s="30">
        <v>48</v>
      </c>
      <c r="K155" s="30">
        <v>66</v>
      </c>
      <c r="L155" s="32">
        <v>70</v>
      </c>
      <c r="M155" s="30">
        <v>37</v>
      </c>
      <c r="N155" s="30">
        <v>2</v>
      </c>
      <c r="O155" s="30">
        <v>-1</v>
      </c>
      <c r="P155" s="78">
        <f t="shared" si="38"/>
        <v>500</v>
      </c>
      <c r="Q155"/>
    </row>
    <row r="156" spans="1:17" ht="12.75" hidden="1" customHeight="1" x14ac:dyDescent="0.25">
      <c r="A156"/>
      <c r="B156" s="443"/>
      <c r="C156" s="178" t="s">
        <v>25</v>
      </c>
      <c r="D156" s="74">
        <v>6423</v>
      </c>
      <c r="E156" s="74">
        <v>5022</v>
      </c>
      <c r="F156" s="74">
        <f>1729+4804+720</f>
        <v>7253</v>
      </c>
      <c r="G156" s="74">
        <v>5385</v>
      </c>
      <c r="H156" s="74">
        <v>5827</v>
      </c>
      <c r="I156" s="74">
        <v>8063</v>
      </c>
      <c r="J156" s="74">
        <v>5213</v>
      </c>
      <c r="K156" s="74">
        <v>4595</v>
      </c>
      <c r="L156" s="74">
        <v>4589</v>
      </c>
      <c r="M156" s="74">
        <v>5670</v>
      </c>
      <c r="N156" s="74">
        <v>5038</v>
      </c>
      <c r="O156" s="74">
        <v>4362</v>
      </c>
      <c r="P156" s="78">
        <f t="shared" si="38"/>
        <v>67440</v>
      </c>
      <c r="Q156"/>
    </row>
    <row r="157" spans="1:17" ht="12.75" hidden="1" customHeight="1" x14ac:dyDescent="0.25">
      <c r="A157"/>
      <c r="B157" s="443"/>
      <c r="C157" s="178" t="s">
        <v>44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4"/>
      <c r="N157" s="74"/>
      <c r="O157" s="74"/>
      <c r="P157" s="78">
        <f t="shared" si="38"/>
        <v>0</v>
      </c>
      <c r="Q157"/>
    </row>
    <row r="158" spans="1:17" ht="12.75" hidden="1" customHeight="1" x14ac:dyDescent="0.25">
      <c r="A158"/>
      <c r="B158" s="443"/>
      <c r="C158" s="179" t="s">
        <v>27</v>
      </c>
      <c r="D158" s="72">
        <v>9350</v>
      </c>
      <c r="E158" s="72">
        <v>7550</v>
      </c>
      <c r="F158" s="72">
        <f>13568+3032</f>
        <v>16600</v>
      </c>
      <c r="G158" s="72">
        <v>15000</v>
      </c>
      <c r="H158" s="72">
        <v>13416</v>
      </c>
      <c r="I158" s="72">
        <v>15688</v>
      </c>
      <c r="J158" s="72">
        <v>14381</v>
      </c>
      <c r="K158" s="72">
        <v>10235</v>
      </c>
      <c r="L158" s="72">
        <v>11590</v>
      </c>
      <c r="M158" s="72">
        <v>10926</v>
      </c>
      <c r="N158" s="72">
        <v>11648</v>
      </c>
      <c r="O158" s="72">
        <v>9079</v>
      </c>
      <c r="P158" s="78">
        <f t="shared" si="38"/>
        <v>145463</v>
      </c>
      <c r="Q158"/>
    </row>
    <row r="159" spans="1:17" ht="12.75" hidden="1" customHeight="1" thickBot="1" x14ac:dyDescent="0.3">
      <c r="A159"/>
      <c r="B159" s="432"/>
      <c r="C159" s="181" t="s">
        <v>0</v>
      </c>
      <c r="D159" s="43">
        <f t="shared" ref="D159:O159" si="39">SUM(D151:D158)</f>
        <v>18691</v>
      </c>
      <c r="E159" s="43">
        <f t="shared" si="39"/>
        <v>15507</v>
      </c>
      <c r="F159" s="43">
        <f t="shared" si="39"/>
        <v>28680</v>
      </c>
      <c r="G159" s="43">
        <f t="shared" si="39"/>
        <v>29462</v>
      </c>
      <c r="H159" s="43">
        <f t="shared" si="39"/>
        <v>29080</v>
      </c>
      <c r="I159" s="43">
        <f t="shared" si="39"/>
        <v>35406</v>
      </c>
      <c r="J159" s="43">
        <f t="shared" si="39"/>
        <v>31209</v>
      </c>
      <c r="K159" s="43">
        <f>SUM(K151:K158)</f>
        <v>21047</v>
      </c>
      <c r="L159" s="43">
        <f t="shared" si="39"/>
        <v>25916</v>
      </c>
      <c r="M159" s="43">
        <f t="shared" si="39"/>
        <v>25390</v>
      </c>
      <c r="N159" s="43">
        <f t="shared" si="39"/>
        <v>24804</v>
      </c>
      <c r="O159" s="43">
        <f t="shared" si="39"/>
        <v>21898</v>
      </c>
      <c r="P159" s="44">
        <f>SUM(P151:P158)</f>
        <v>307090</v>
      </c>
      <c r="Q159"/>
    </row>
    <row r="160" spans="1:17" ht="12.75" hidden="1" customHeight="1" x14ac:dyDescent="0.25">
      <c r="A160"/>
      <c r="B160" s="441" t="s">
        <v>45</v>
      </c>
      <c r="C160" s="175" t="s">
        <v>138</v>
      </c>
      <c r="D160" s="39">
        <v>1710</v>
      </c>
      <c r="E160" s="40">
        <v>584</v>
      </c>
      <c r="F160" s="40">
        <v>2121</v>
      </c>
      <c r="G160" s="40">
        <v>1974</v>
      </c>
      <c r="H160" s="40">
        <v>1325</v>
      </c>
      <c r="I160" s="40">
        <v>2175</v>
      </c>
      <c r="J160" s="40">
        <v>1554</v>
      </c>
      <c r="K160" s="40">
        <v>1029</v>
      </c>
      <c r="L160" s="40">
        <v>1575</v>
      </c>
      <c r="M160" s="40">
        <v>1015</v>
      </c>
      <c r="N160" s="40">
        <v>1189</v>
      </c>
      <c r="O160" s="40">
        <v>1475</v>
      </c>
      <c r="P160" s="41">
        <f t="shared" ref="P160:P165" si="40">SUM(D160:O160)</f>
        <v>17726</v>
      </c>
      <c r="Q160"/>
    </row>
    <row r="161" spans="1:17" ht="12.75" hidden="1" customHeight="1" x14ac:dyDescent="0.25">
      <c r="A161"/>
      <c r="B161" s="441"/>
      <c r="C161" s="182" t="s">
        <v>114</v>
      </c>
      <c r="D161" s="25">
        <v>1835</v>
      </c>
      <c r="E161" s="26">
        <v>1459</v>
      </c>
      <c r="F161" s="26">
        <f>2918+697+1391</f>
        <v>5006</v>
      </c>
      <c r="G161" s="26">
        <v>4288</v>
      </c>
      <c r="H161" s="26">
        <v>2913</v>
      </c>
      <c r="I161" s="26">
        <v>3076</v>
      </c>
      <c r="J161" s="26">
        <v>2922</v>
      </c>
      <c r="K161" s="26">
        <v>1574</v>
      </c>
      <c r="L161" s="26">
        <v>3109</v>
      </c>
      <c r="M161" s="26">
        <v>1793</v>
      </c>
      <c r="N161" s="26">
        <v>2217</v>
      </c>
      <c r="O161" s="26">
        <v>1710</v>
      </c>
      <c r="P161" s="27">
        <f t="shared" si="40"/>
        <v>31902</v>
      </c>
      <c r="Q161"/>
    </row>
    <row r="162" spans="1:17" ht="12.75" hidden="1" customHeight="1" x14ac:dyDescent="0.25">
      <c r="A162"/>
      <c r="B162" s="441"/>
      <c r="C162" s="182" t="s">
        <v>60</v>
      </c>
      <c r="D162" s="25">
        <v>1766</v>
      </c>
      <c r="E162" s="26">
        <v>1534</v>
      </c>
      <c r="F162" s="26">
        <v>2612</v>
      </c>
      <c r="G162" s="26">
        <v>1718</v>
      </c>
      <c r="H162" s="26">
        <v>2353</v>
      </c>
      <c r="I162" s="26">
        <v>3115</v>
      </c>
      <c r="J162" s="26">
        <v>1686</v>
      </c>
      <c r="K162" s="26">
        <v>1664</v>
      </c>
      <c r="L162" s="26">
        <v>2196</v>
      </c>
      <c r="M162" s="26">
        <v>3063</v>
      </c>
      <c r="N162" s="26">
        <v>7490</v>
      </c>
      <c r="O162" s="26">
        <v>6947</v>
      </c>
      <c r="P162" s="27">
        <f t="shared" si="40"/>
        <v>36144</v>
      </c>
      <c r="Q162"/>
    </row>
    <row r="163" spans="1:17" ht="12.75" hidden="1" customHeight="1" x14ac:dyDescent="0.25">
      <c r="A163"/>
      <c r="B163" s="441"/>
      <c r="C163" s="182" t="s">
        <v>125</v>
      </c>
      <c r="D163" s="25">
        <v>81</v>
      </c>
      <c r="E163" s="26">
        <v>443</v>
      </c>
      <c r="F163" s="26">
        <v>706</v>
      </c>
      <c r="G163" s="26">
        <v>795</v>
      </c>
      <c r="H163" s="26">
        <v>270</v>
      </c>
      <c r="I163" s="26">
        <v>317</v>
      </c>
      <c r="J163" s="26">
        <v>700</v>
      </c>
      <c r="K163" s="26">
        <v>675</v>
      </c>
      <c r="L163" s="26">
        <v>461</v>
      </c>
      <c r="M163" s="26">
        <v>640</v>
      </c>
      <c r="N163" s="26">
        <v>365</v>
      </c>
      <c r="O163" s="26">
        <v>333</v>
      </c>
      <c r="P163" s="198">
        <f t="shared" si="40"/>
        <v>5786</v>
      </c>
      <c r="Q163"/>
    </row>
    <row r="164" spans="1:17" ht="12.75" hidden="1" customHeight="1" x14ac:dyDescent="0.25">
      <c r="A164"/>
      <c r="B164" s="441"/>
      <c r="C164" s="177" t="s">
        <v>8</v>
      </c>
      <c r="D164" s="29">
        <v>3204</v>
      </c>
      <c r="E164" s="30">
        <v>2978</v>
      </c>
      <c r="F164" s="30">
        <v>5788</v>
      </c>
      <c r="G164" s="30">
        <v>3468</v>
      </c>
      <c r="H164" s="30">
        <v>5765</v>
      </c>
      <c r="I164" s="30">
        <v>4901</v>
      </c>
      <c r="J164" s="30">
        <v>6252</v>
      </c>
      <c r="K164" s="30">
        <v>6224</v>
      </c>
      <c r="L164" s="30">
        <v>4520</v>
      </c>
      <c r="M164" s="30">
        <v>4003</v>
      </c>
      <c r="N164" s="30">
        <v>5157</v>
      </c>
      <c r="O164" s="30">
        <v>5318</v>
      </c>
      <c r="P164" s="78">
        <f t="shared" si="40"/>
        <v>57578</v>
      </c>
      <c r="Q164"/>
    </row>
    <row r="165" spans="1:17" ht="12.75" hidden="1" customHeight="1" x14ac:dyDescent="0.25">
      <c r="A165"/>
      <c r="B165" s="441"/>
      <c r="C165" s="177" t="s">
        <v>134</v>
      </c>
      <c r="D165" s="29">
        <v>5173</v>
      </c>
      <c r="E165" s="30">
        <v>2618</v>
      </c>
      <c r="F165" s="30">
        <v>6293</v>
      </c>
      <c r="G165" s="30">
        <v>5873</v>
      </c>
      <c r="H165" s="30">
        <v>4177</v>
      </c>
      <c r="I165" s="30">
        <v>6895</v>
      </c>
      <c r="J165" s="30">
        <v>6071</v>
      </c>
      <c r="K165" s="30">
        <v>4433</v>
      </c>
      <c r="L165" s="30">
        <v>5069</v>
      </c>
      <c r="M165" s="30">
        <v>6514</v>
      </c>
      <c r="N165" s="30">
        <v>5706</v>
      </c>
      <c r="O165" s="30">
        <v>5969</v>
      </c>
      <c r="P165" s="31">
        <f t="shared" si="40"/>
        <v>64791</v>
      </c>
      <c r="Q165"/>
    </row>
    <row r="166" spans="1:17" ht="12.75" hidden="1" customHeight="1" thickBot="1" x14ac:dyDescent="0.3">
      <c r="A166"/>
      <c r="B166" s="444"/>
      <c r="C166" s="183" t="s">
        <v>0</v>
      </c>
      <c r="D166" s="36">
        <f t="shared" ref="D166:P166" si="41">SUM(D160:D165)</f>
        <v>13769</v>
      </c>
      <c r="E166" s="36">
        <f t="shared" si="41"/>
        <v>9616</v>
      </c>
      <c r="F166" s="36">
        <f t="shared" si="41"/>
        <v>22526</v>
      </c>
      <c r="G166" s="36">
        <f t="shared" si="41"/>
        <v>18116</v>
      </c>
      <c r="H166" s="36">
        <f t="shared" si="41"/>
        <v>16803</v>
      </c>
      <c r="I166" s="36">
        <f t="shared" si="41"/>
        <v>20479</v>
      </c>
      <c r="J166" s="36">
        <f t="shared" si="41"/>
        <v>19185</v>
      </c>
      <c r="K166" s="36">
        <f t="shared" si="41"/>
        <v>15599</v>
      </c>
      <c r="L166" s="36">
        <f>SUM(L160:L165)</f>
        <v>16930</v>
      </c>
      <c r="M166" s="36">
        <f t="shared" si="41"/>
        <v>17028</v>
      </c>
      <c r="N166" s="36">
        <f t="shared" si="41"/>
        <v>22124</v>
      </c>
      <c r="O166" s="36">
        <f t="shared" si="41"/>
        <v>21752</v>
      </c>
      <c r="P166" s="37">
        <f t="shared" si="41"/>
        <v>213927</v>
      </c>
      <c r="Q166"/>
    </row>
    <row r="167" spans="1:17" ht="12.75" hidden="1" customHeight="1" x14ac:dyDescent="0.25">
      <c r="A167"/>
      <c r="B167" s="430" t="s">
        <v>9</v>
      </c>
      <c r="C167" s="175" t="s">
        <v>11</v>
      </c>
      <c r="D167" s="39">
        <v>2648</v>
      </c>
      <c r="E167" s="40">
        <v>1268</v>
      </c>
      <c r="F167" s="40">
        <v>2897</v>
      </c>
      <c r="G167" s="40">
        <v>3075</v>
      </c>
      <c r="H167" s="40">
        <v>3245</v>
      </c>
      <c r="I167" s="40">
        <v>4409</v>
      </c>
      <c r="J167" s="40">
        <v>4475</v>
      </c>
      <c r="K167" s="40">
        <v>1951</v>
      </c>
      <c r="L167" s="40">
        <v>2820</v>
      </c>
      <c r="M167" s="40">
        <v>3254</v>
      </c>
      <c r="N167" s="40">
        <v>3047</v>
      </c>
      <c r="O167" s="40">
        <v>3101</v>
      </c>
      <c r="P167" s="41">
        <f>SUM(D167:O167)</f>
        <v>36190</v>
      </c>
      <c r="Q167"/>
    </row>
    <row r="168" spans="1:17" ht="12.75" hidden="1" customHeight="1" x14ac:dyDescent="0.25">
      <c r="A168"/>
      <c r="B168" s="431"/>
      <c r="C168" s="182" t="s">
        <v>12</v>
      </c>
      <c r="D168" s="25">
        <v>7480</v>
      </c>
      <c r="E168" s="26">
        <v>7875</v>
      </c>
      <c r="F168" s="26">
        <f>8409+765</f>
        <v>9174</v>
      </c>
      <c r="G168" s="26">
        <v>7570</v>
      </c>
      <c r="H168" s="26">
        <v>6322</v>
      </c>
      <c r="I168" s="26">
        <v>7641</v>
      </c>
      <c r="J168" s="26">
        <v>9172</v>
      </c>
      <c r="K168" s="26">
        <v>7118</v>
      </c>
      <c r="L168" s="26">
        <v>8995</v>
      </c>
      <c r="M168" s="26">
        <v>8523</v>
      </c>
      <c r="N168" s="26">
        <v>8062</v>
      </c>
      <c r="O168" s="26">
        <v>7262</v>
      </c>
      <c r="P168" s="27">
        <f>SUM(D168:O168)</f>
        <v>95194</v>
      </c>
      <c r="Q168"/>
    </row>
    <row r="169" spans="1:17" ht="12.75" hidden="1" customHeight="1" thickBot="1" x14ac:dyDescent="0.3">
      <c r="A169"/>
      <c r="B169" s="432"/>
      <c r="C169" s="181" t="s">
        <v>0</v>
      </c>
      <c r="D169" s="43">
        <f t="shared" ref="D169:L169" si="42">SUM(D167:D168)</f>
        <v>10128</v>
      </c>
      <c r="E169" s="43">
        <f t="shared" si="42"/>
        <v>9143</v>
      </c>
      <c r="F169" s="43">
        <f t="shared" si="42"/>
        <v>12071</v>
      </c>
      <c r="G169" s="43">
        <f t="shared" si="42"/>
        <v>10645</v>
      </c>
      <c r="H169" s="43">
        <f t="shared" si="42"/>
        <v>9567</v>
      </c>
      <c r="I169" s="43">
        <f t="shared" si="42"/>
        <v>12050</v>
      </c>
      <c r="J169" s="43">
        <f t="shared" si="42"/>
        <v>13647</v>
      </c>
      <c r="K169" s="43">
        <f t="shared" si="42"/>
        <v>9069</v>
      </c>
      <c r="L169" s="43">
        <f t="shared" si="42"/>
        <v>11815</v>
      </c>
      <c r="M169" s="43">
        <f>SUM(M167:M168)</f>
        <v>11777</v>
      </c>
      <c r="N169" s="43">
        <f>SUM(N167:N168)</f>
        <v>11109</v>
      </c>
      <c r="O169" s="43">
        <f>SUM(O167:O168)</f>
        <v>10363</v>
      </c>
      <c r="P169" s="44">
        <f>SUM(P167:P168)</f>
        <v>131384</v>
      </c>
      <c r="Q169"/>
    </row>
    <row r="170" spans="1:17" ht="12.75" hidden="1" customHeight="1" x14ac:dyDescent="0.25">
      <c r="A170"/>
      <c r="B170" s="430" t="s">
        <v>10</v>
      </c>
      <c r="C170" s="175" t="s">
        <v>13</v>
      </c>
      <c r="D170" s="39">
        <f>152+69+194+116</f>
        <v>531</v>
      </c>
      <c r="E170" s="40">
        <f>240+57+141+130</f>
        <v>568</v>
      </c>
      <c r="F170" s="40">
        <f>152+73+301+131</f>
        <v>657</v>
      </c>
      <c r="G170" s="40">
        <f>193+111+306+116</f>
        <v>726</v>
      </c>
      <c r="H170" s="40">
        <f>200+71+247+122</f>
        <v>640</v>
      </c>
      <c r="I170" s="40">
        <f>253+78+250+101</f>
        <v>682</v>
      </c>
      <c r="J170" s="40">
        <v>477</v>
      </c>
      <c r="K170" s="40">
        <v>359</v>
      </c>
      <c r="L170" s="40">
        <v>453</v>
      </c>
      <c r="M170" s="40">
        <v>596</v>
      </c>
      <c r="N170" s="40">
        <v>592</v>
      </c>
      <c r="O170" s="40">
        <v>556</v>
      </c>
      <c r="P170" s="41">
        <f>SUM(D170:O170)</f>
        <v>6837</v>
      </c>
      <c r="Q170"/>
    </row>
    <row r="171" spans="1:17" ht="12.75" hidden="1" customHeight="1" x14ac:dyDescent="0.25">
      <c r="A171"/>
      <c r="B171" s="431"/>
      <c r="C171" s="182" t="s">
        <v>14</v>
      </c>
      <c r="D171" s="25">
        <f>672+404+396</f>
        <v>1472</v>
      </c>
      <c r="E171" s="26">
        <f>504+315+446</f>
        <v>1265</v>
      </c>
      <c r="F171" s="26">
        <f>891+606+546</f>
        <v>2043</v>
      </c>
      <c r="G171" s="26">
        <f>736+573+93+474</f>
        <v>1876</v>
      </c>
      <c r="H171" s="26">
        <f>732+495+116+417</f>
        <v>1760</v>
      </c>
      <c r="I171" s="26">
        <f>764+456+113+435</f>
        <v>1768</v>
      </c>
      <c r="J171" s="26">
        <v>1744</v>
      </c>
      <c r="K171" s="26">
        <v>1454</v>
      </c>
      <c r="L171" s="26">
        <v>1675</v>
      </c>
      <c r="M171" s="26">
        <v>1719</v>
      </c>
      <c r="N171" s="26">
        <v>1839</v>
      </c>
      <c r="O171" s="26">
        <v>1617</v>
      </c>
      <c r="P171" s="27">
        <f>SUM(D171:O171)</f>
        <v>20232</v>
      </c>
      <c r="Q171"/>
    </row>
    <row r="172" spans="1:17" ht="12.75" hidden="1" customHeight="1" thickBot="1" x14ac:dyDescent="0.3">
      <c r="A172"/>
      <c r="B172" s="432"/>
      <c r="C172" s="181" t="s">
        <v>0</v>
      </c>
      <c r="D172" s="43">
        <f t="shared" ref="D172:P172" si="43">SUM(D170:D171)</f>
        <v>2003</v>
      </c>
      <c r="E172" s="43">
        <f t="shared" si="43"/>
        <v>1833</v>
      </c>
      <c r="F172" s="43">
        <f t="shared" si="43"/>
        <v>2700</v>
      </c>
      <c r="G172" s="43">
        <f t="shared" si="43"/>
        <v>2602</v>
      </c>
      <c r="H172" s="43">
        <f t="shared" si="43"/>
        <v>2400</v>
      </c>
      <c r="I172" s="43">
        <f t="shared" si="43"/>
        <v>2450</v>
      </c>
      <c r="J172" s="43">
        <f>SUM(J170:J171)</f>
        <v>2221</v>
      </c>
      <c r="K172" s="43">
        <f t="shared" si="43"/>
        <v>1813</v>
      </c>
      <c r="L172" s="43">
        <f t="shared" si="43"/>
        <v>2128</v>
      </c>
      <c r="M172" s="43">
        <f t="shared" si="43"/>
        <v>2315</v>
      </c>
      <c r="N172" s="43">
        <f t="shared" si="43"/>
        <v>2431</v>
      </c>
      <c r="O172" s="43">
        <f t="shared" si="43"/>
        <v>2173</v>
      </c>
      <c r="P172" s="44">
        <f t="shared" si="43"/>
        <v>27069</v>
      </c>
      <c r="Q172"/>
    </row>
    <row r="173" spans="1:17" ht="12.75" hidden="1" customHeight="1" x14ac:dyDescent="0.25">
      <c r="A173"/>
      <c r="B173" s="449" t="s">
        <v>4</v>
      </c>
      <c r="C173" s="184" t="s">
        <v>116</v>
      </c>
      <c r="D173" s="156">
        <v>637</v>
      </c>
      <c r="E173" s="156">
        <v>549</v>
      </c>
      <c r="F173" s="156">
        <v>1109</v>
      </c>
      <c r="G173" s="156">
        <v>826</v>
      </c>
      <c r="H173" s="156">
        <v>613</v>
      </c>
      <c r="I173" s="156">
        <v>981</v>
      </c>
      <c r="J173" s="156">
        <v>489</v>
      </c>
      <c r="K173" s="156">
        <v>448</v>
      </c>
      <c r="L173" s="156">
        <v>451</v>
      </c>
      <c r="M173" s="156">
        <v>233</v>
      </c>
      <c r="N173" s="156">
        <v>350</v>
      </c>
      <c r="O173" s="156">
        <v>1224</v>
      </c>
      <c r="P173" s="157">
        <f>SUM(D173:O173)</f>
        <v>7910</v>
      </c>
      <c r="Q173"/>
    </row>
    <row r="174" spans="1:17" ht="12.75" hidden="1" customHeight="1" x14ac:dyDescent="0.25">
      <c r="A174"/>
      <c r="B174" s="450"/>
      <c r="C174" s="185" t="s">
        <v>118</v>
      </c>
      <c r="D174" s="132">
        <v>1186</v>
      </c>
      <c r="E174" s="132">
        <v>783</v>
      </c>
      <c r="F174" s="132">
        <f>546+71</f>
        <v>617</v>
      </c>
      <c r="G174" s="132">
        <v>4416</v>
      </c>
      <c r="H174" s="132">
        <v>7582</v>
      </c>
      <c r="I174" s="132">
        <v>7905</v>
      </c>
      <c r="J174" s="132">
        <v>6504</v>
      </c>
      <c r="K174" s="132">
        <v>4100</v>
      </c>
      <c r="L174" s="132">
        <v>6040</v>
      </c>
      <c r="M174" s="132">
        <v>5268</v>
      </c>
      <c r="N174" s="132">
        <v>5019</v>
      </c>
      <c r="O174" s="132">
        <v>6730</v>
      </c>
      <c r="P174" s="133">
        <f>SUM(D174:O174)</f>
        <v>56150</v>
      </c>
      <c r="Q174"/>
    </row>
    <row r="175" spans="1:17" ht="10.95" hidden="1" customHeight="1" x14ac:dyDescent="0.25">
      <c r="A175"/>
      <c r="B175" s="450"/>
      <c r="C175" s="177" t="s">
        <v>132</v>
      </c>
      <c r="D175" s="29">
        <v>830</v>
      </c>
      <c r="E175" s="30">
        <v>683</v>
      </c>
      <c r="F175" s="30">
        <v>1209</v>
      </c>
      <c r="G175" s="30">
        <v>651</v>
      </c>
      <c r="H175" s="30">
        <v>601</v>
      </c>
      <c r="I175" s="30">
        <v>701</v>
      </c>
      <c r="J175" s="30">
        <v>1117</v>
      </c>
      <c r="K175" s="30">
        <v>704</v>
      </c>
      <c r="L175" s="30">
        <v>882</v>
      </c>
      <c r="M175" s="30">
        <v>915</v>
      </c>
      <c r="N175" s="30">
        <v>925</v>
      </c>
      <c r="O175" s="30">
        <v>791</v>
      </c>
      <c r="P175" s="31">
        <f>SUM(D175:O175)</f>
        <v>10009</v>
      </c>
      <c r="Q175"/>
    </row>
    <row r="176" spans="1:17" hidden="1" x14ac:dyDescent="0.25">
      <c r="A176"/>
      <c r="B176" s="450"/>
      <c r="C176" s="177" t="s">
        <v>162</v>
      </c>
      <c r="D176" s="29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15</v>
      </c>
      <c r="O176" s="30">
        <v>83</v>
      </c>
      <c r="P176" s="31">
        <f>SUM(D176:O176)</f>
        <v>98</v>
      </c>
    </row>
    <row r="177" spans="1:17" ht="9.75" hidden="1" customHeight="1" x14ac:dyDescent="0.25">
      <c r="A177"/>
      <c r="B177" s="450"/>
      <c r="C177" s="177" t="s">
        <v>149</v>
      </c>
      <c r="D177" s="29">
        <v>347</v>
      </c>
      <c r="E177" s="30">
        <v>1176</v>
      </c>
      <c r="F177" s="30">
        <v>3268</v>
      </c>
      <c r="G177" s="30">
        <v>4324</v>
      </c>
      <c r="H177" s="30">
        <v>4164</v>
      </c>
      <c r="I177" s="30">
        <v>3728</v>
      </c>
      <c r="J177" s="30">
        <v>3009</v>
      </c>
      <c r="K177" s="30">
        <v>1810</v>
      </c>
      <c r="L177" s="30">
        <v>2918</v>
      </c>
      <c r="M177" s="30">
        <v>2743</v>
      </c>
      <c r="N177" s="30">
        <v>3258</v>
      </c>
      <c r="O177" s="30">
        <v>3472</v>
      </c>
      <c r="P177" s="31">
        <f>SUM(D177:O177)</f>
        <v>34217</v>
      </c>
    </row>
    <row r="178" spans="1:17" ht="9.75" hidden="1" customHeight="1" thickBot="1" x14ac:dyDescent="0.3">
      <c r="A178"/>
      <c r="B178" s="451"/>
      <c r="C178" s="42" t="s">
        <v>0</v>
      </c>
      <c r="D178" s="43">
        <f>SUM(D173:D177)</f>
        <v>3000</v>
      </c>
      <c r="E178" s="43">
        <f t="shared" ref="E178:P178" si="44">SUM(E173:E177)</f>
        <v>3191</v>
      </c>
      <c r="F178" s="43">
        <f t="shared" si="44"/>
        <v>6203</v>
      </c>
      <c r="G178" s="43">
        <f t="shared" si="44"/>
        <v>10217</v>
      </c>
      <c r="H178" s="43">
        <f t="shared" si="44"/>
        <v>12960</v>
      </c>
      <c r="I178" s="43">
        <f t="shared" si="44"/>
        <v>13315</v>
      </c>
      <c r="J178" s="43">
        <f t="shared" si="44"/>
        <v>11119</v>
      </c>
      <c r="K178" s="43">
        <f t="shared" si="44"/>
        <v>7062</v>
      </c>
      <c r="L178" s="43">
        <f t="shared" si="44"/>
        <v>10291</v>
      </c>
      <c r="M178" s="43">
        <f t="shared" si="44"/>
        <v>9159</v>
      </c>
      <c r="N178" s="43">
        <f t="shared" si="44"/>
        <v>9567</v>
      </c>
      <c r="O178" s="43">
        <f t="shared" si="44"/>
        <v>12300</v>
      </c>
      <c r="P178" s="43">
        <f t="shared" si="44"/>
        <v>108384</v>
      </c>
    </row>
    <row r="179" spans="1:17" ht="9.75" hidden="1" customHeight="1" thickBot="1" x14ac:dyDescent="0.3">
      <c r="A179"/>
      <c r="B179" s="435" t="s">
        <v>2</v>
      </c>
      <c r="C179" s="436"/>
      <c r="D179" s="45">
        <f t="shared" ref="D179:O179" si="45">D159+D166+D172+D169+D178</f>
        <v>47591</v>
      </c>
      <c r="E179" s="45">
        <f t="shared" si="45"/>
        <v>39290</v>
      </c>
      <c r="F179" s="45">
        <f t="shared" si="45"/>
        <v>72180</v>
      </c>
      <c r="G179" s="45">
        <f t="shared" si="45"/>
        <v>71042</v>
      </c>
      <c r="H179" s="45">
        <f t="shared" si="45"/>
        <v>70810</v>
      </c>
      <c r="I179" s="45">
        <f t="shared" si="45"/>
        <v>83700</v>
      </c>
      <c r="J179" s="45">
        <f>J159+J166+J172+J169+J178</f>
        <v>77381</v>
      </c>
      <c r="K179" s="45">
        <f t="shared" si="45"/>
        <v>54590</v>
      </c>
      <c r="L179" s="45">
        <f t="shared" si="45"/>
        <v>67080</v>
      </c>
      <c r="M179" s="45">
        <f t="shared" si="45"/>
        <v>65669</v>
      </c>
      <c r="N179" s="45">
        <f t="shared" si="45"/>
        <v>70035</v>
      </c>
      <c r="O179" s="45">
        <f t="shared" si="45"/>
        <v>68486</v>
      </c>
      <c r="P179" s="45">
        <f>SUM(P159,P166,P178,P169,P172)</f>
        <v>787854</v>
      </c>
    </row>
    <row r="180" spans="1:17" ht="4.5" hidden="1" customHeight="1" x14ac:dyDescent="0.25">
      <c r="A180"/>
      <c r="J180" s="116"/>
      <c r="Q180"/>
    </row>
    <row r="181" spans="1:17" hidden="1" x14ac:dyDescent="0.25">
      <c r="A181"/>
      <c r="B181" s="82" t="s">
        <v>24</v>
      </c>
      <c r="C181" s="83"/>
      <c r="D181" s="84">
        <f>SUM(D182:D184)</f>
        <v>2638</v>
      </c>
      <c r="E181" s="84">
        <f t="shared" ref="E181:O181" si="46">SUM(E182:E184)</f>
        <v>2575</v>
      </c>
      <c r="F181" s="84">
        <f t="shared" si="46"/>
        <v>3886</v>
      </c>
      <c r="G181" s="84">
        <f t="shared" si="46"/>
        <v>8249</v>
      </c>
      <c r="H181" s="84">
        <f t="shared" si="46"/>
        <v>9382</v>
      </c>
      <c r="I181" s="84">
        <f t="shared" si="46"/>
        <v>10875</v>
      </c>
      <c r="J181" s="84">
        <f t="shared" si="46"/>
        <v>11037</v>
      </c>
      <c r="K181" s="84">
        <f t="shared" si="46"/>
        <v>5792</v>
      </c>
      <c r="L181" s="84">
        <f t="shared" si="46"/>
        <v>9136</v>
      </c>
      <c r="M181" s="84">
        <f t="shared" si="46"/>
        <v>8316</v>
      </c>
      <c r="N181" s="84">
        <f t="shared" si="46"/>
        <v>7477</v>
      </c>
      <c r="O181" s="84">
        <f t="shared" si="46"/>
        <v>8368</v>
      </c>
      <c r="P181" s="85">
        <f>SUM(P182:P184)</f>
        <v>87731</v>
      </c>
    </row>
    <row r="182" spans="1:17" ht="9.75" hidden="1" customHeight="1" x14ac:dyDescent="0.25">
      <c r="A182"/>
      <c r="B182" s="86"/>
      <c r="C182" s="87" t="s">
        <v>153</v>
      </c>
      <c r="D182" s="100">
        <v>2638</v>
      </c>
      <c r="E182" s="100">
        <v>2575</v>
      </c>
      <c r="F182" s="88">
        <v>3886</v>
      </c>
      <c r="G182" s="101">
        <v>802</v>
      </c>
      <c r="H182" s="88">
        <v>413</v>
      </c>
      <c r="I182" s="98">
        <v>31</v>
      </c>
      <c r="J182" s="98">
        <v>1</v>
      </c>
      <c r="K182" s="88">
        <v>0</v>
      </c>
      <c r="L182" s="88">
        <v>0</v>
      </c>
      <c r="M182" s="88">
        <v>0</v>
      </c>
      <c r="N182" s="88">
        <v>0</v>
      </c>
      <c r="O182" s="88">
        <v>0</v>
      </c>
      <c r="P182" s="89">
        <f>SUM(D182:O182)</f>
        <v>10346</v>
      </c>
    </row>
    <row r="183" spans="1:17" ht="9.75" hidden="1" customHeight="1" x14ac:dyDescent="0.25">
      <c r="A183"/>
      <c r="B183" s="86"/>
      <c r="C183" s="87" t="s">
        <v>154</v>
      </c>
      <c r="D183" s="100">
        <v>0</v>
      </c>
      <c r="E183" s="100">
        <v>0</v>
      </c>
      <c r="F183" s="88">
        <v>0</v>
      </c>
      <c r="G183" s="101">
        <v>7447</v>
      </c>
      <c r="H183" s="88">
        <v>8969</v>
      </c>
      <c r="I183" s="98">
        <v>10844</v>
      </c>
      <c r="J183" s="99">
        <v>11036</v>
      </c>
      <c r="K183" s="91">
        <v>5751</v>
      </c>
      <c r="L183" s="91">
        <v>8241</v>
      </c>
      <c r="M183" s="91">
        <v>7454</v>
      </c>
      <c r="N183" s="91">
        <v>6713</v>
      </c>
      <c r="O183" s="91">
        <v>7605</v>
      </c>
      <c r="P183" s="89">
        <f>SUM(D183:O183)</f>
        <v>74060</v>
      </c>
    </row>
    <row r="184" spans="1:17" ht="8.4" hidden="1" customHeight="1" x14ac:dyDescent="0.25">
      <c r="A184"/>
      <c r="B184" s="90"/>
      <c r="C184" s="87" t="s">
        <v>155</v>
      </c>
      <c r="D184" s="88">
        <v>0</v>
      </c>
      <c r="E184" s="88">
        <v>0</v>
      </c>
      <c r="F184" s="88">
        <v>0</v>
      </c>
      <c r="G184" s="88">
        <v>0</v>
      </c>
      <c r="H184" s="88">
        <v>0</v>
      </c>
      <c r="I184" s="88">
        <v>0</v>
      </c>
      <c r="J184" s="88">
        <v>0</v>
      </c>
      <c r="K184" s="88">
        <v>41</v>
      </c>
      <c r="L184" s="88">
        <v>895</v>
      </c>
      <c r="M184" s="88">
        <v>862</v>
      </c>
      <c r="N184" s="88">
        <v>764</v>
      </c>
      <c r="O184" s="88">
        <v>763</v>
      </c>
      <c r="P184" s="89">
        <f>SUM(D184:O184)</f>
        <v>3325</v>
      </c>
      <c r="Q184"/>
    </row>
    <row r="185" spans="1:17" ht="8.4" hidden="1" customHeight="1" x14ac:dyDescent="0.25">
      <c r="A185"/>
      <c r="J185" s="116"/>
    </row>
    <row r="186" spans="1:17" ht="9.9" hidden="1" customHeight="1" x14ac:dyDescent="0.25">
      <c r="A186"/>
      <c r="B186" s="82" t="s">
        <v>69</v>
      </c>
      <c r="C186" s="83"/>
      <c r="D186" s="84">
        <f t="shared" ref="D186:P186" si="47">SUM(D187:D188)</f>
        <v>164</v>
      </c>
      <c r="E186" s="84">
        <f t="shared" si="47"/>
        <v>188</v>
      </c>
      <c r="F186" s="84">
        <f t="shared" si="47"/>
        <v>685</v>
      </c>
      <c r="G186" s="84">
        <f t="shared" si="47"/>
        <v>555</v>
      </c>
      <c r="H186" s="84">
        <f t="shared" si="47"/>
        <v>183</v>
      </c>
      <c r="I186" s="84">
        <f t="shared" si="47"/>
        <v>280</v>
      </c>
      <c r="J186" s="84">
        <f t="shared" si="47"/>
        <v>268</v>
      </c>
      <c r="K186" s="84">
        <f t="shared" si="47"/>
        <v>264</v>
      </c>
      <c r="L186" s="84">
        <f t="shared" si="47"/>
        <v>233</v>
      </c>
      <c r="M186" s="84">
        <f t="shared" si="47"/>
        <v>234</v>
      </c>
      <c r="N186" s="84">
        <f t="shared" si="47"/>
        <v>540</v>
      </c>
      <c r="O186" s="84">
        <f t="shared" si="47"/>
        <v>21</v>
      </c>
      <c r="P186" s="85">
        <f t="shared" si="47"/>
        <v>3615</v>
      </c>
    </row>
    <row r="187" spans="1:17" ht="9.9" hidden="1" customHeight="1" x14ac:dyDescent="0.25">
      <c r="A187"/>
      <c r="B187" s="86"/>
      <c r="C187" s="87" t="s">
        <v>144</v>
      </c>
      <c r="D187" s="100">
        <v>2</v>
      </c>
      <c r="E187" s="100">
        <v>104</v>
      </c>
      <c r="F187" s="88">
        <v>276</v>
      </c>
      <c r="G187" s="101">
        <v>121</v>
      </c>
      <c r="H187" s="88">
        <v>83</v>
      </c>
      <c r="I187" s="98">
        <v>152</v>
      </c>
      <c r="J187" s="98">
        <v>181</v>
      </c>
      <c r="K187" s="88">
        <v>189</v>
      </c>
      <c r="L187" s="88">
        <v>166</v>
      </c>
      <c r="M187" s="88">
        <v>103</v>
      </c>
      <c r="N187" s="88">
        <v>121</v>
      </c>
      <c r="O187" s="88">
        <v>11</v>
      </c>
      <c r="P187" s="89">
        <f>SUM(D187:O187)</f>
        <v>1509</v>
      </c>
    </row>
    <row r="188" spans="1:17" ht="9.9" hidden="1" customHeight="1" x14ac:dyDescent="0.25">
      <c r="A188"/>
      <c r="B188" s="90"/>
      <c r="C188" s="87" t="s">
        <v>143</v>
      </c>
      <c r="D188" s="100">
        <v>162</v>
      </c>
      <c r="E188" s="100">
        <v>84</v>
      </c>
      <c r="F188" s="88">
        <v>409</v>
      </c>
      <c r="G188" s="101">
        <v>434</v>
      </c>
      <c r="H188" s="88">
        <v>100</v>
      </c>
      <c r="I188" s="98">
        <v>128</v>
      </c>
      <c r="J188" s="99">
        <v>87</v>
      </c>
      <c r="K188" s="91">
        <v>75</v>
      </c>
      <c r="L188" s="91">
        <v>67</v>
      </c>
      <c r="M188" s="91">
        <v>131</v>
      </c>
      <c r="N188" s="91">
        <v>419</v>
      </c>
      <c r="O188" s="91">
        <v>10</v>
      </c>
      <c r="P188" s="89">
        <f>SUM(D188:O188)</f>
        <v>2106</v>
      </c>
    </row>
    <row r="189" spans="1:17" ht="9.9" hidden="1" customHeight="1" x14ac:dyDescent="0.25">
      <c r="A189"/>
      <c r="J189" s="116"/>
    </row>
    <row r="190" spans="1:17" ht="9.6" hidden="1" customHeight="1" x14ac:dyDescent="0.25">
      <c r="A190"/>
      <c r="B190" s="93" t="s">
        <v>25</v>
      </c>
      <c r="C190" s="94"/>
      <c r="D190" s="84">
        <f>D191+D192+D194+D193</f>
        <v>6423</v>
      </c>
      <c r="E190" s="84">
        <f t="shared" ref="E190:P190" si="48">E191+E192+E194+E193</f>
        <v>5022</v>
      </c>
      <c r="F190" s="84">
        <f t="shared" si="48"/>
        <v>7253</v>
      </c>
      <c r="G190" s="84">
        <f t="shared" si="48"/>
        <v>5385</v>
      </c>
      <c r="H190" s="84">
        <f t="shared" si="48"/>
        <v>5827</v>
      </c>
      <c r="I190" s="84">
        <f t="shared" si="48"/>
        <v>8063</v>
      </c>
      <c r="J190" s="84">
        <f t="shared" si="48"/>
        <v>5213</v>
      </c>
      <c r="K190" s="84">
        <f t="shared" si="48"/>
        <v>4595</v>
      </c>
      <c r="L190" s="84">
        <f t="shared" si="48"/>
        <v>4589</v>
      </c>
      <c r="M190" s="84">
        <f t="shared" si="48"/>
        <v>5670</v>
      </c>
      <c r="N190" s="84">
        <f t="shared" si="48"/>
        <v>5038</v>
      </c>
      <c r="O190" s="84">
        <f t="shared" si="48"/>
        <v>4362</v>
      </c>
      <c r="P190" s="84">
        <f t="shared" si="48"/>
        <v>67440</v>
      </c>
    </row>
    <row r="191" spans="1:17" hidden="1" x14ac:dyDescent="0.25">
      <c r="A191"/>
      <c r="B191" s="86"/>
      <c r="C191" s="87" t="s">
        <v>53</v>
      </c>
      <c r="D191" s="123">
        <v>1668</v>
      </c>
      <c r="E191" s="123">
        <v>1783</v>
      </c>
      <c r="F191" s="123">
        <v>1729</v>
      </c>
      <c r="G191" s="88">
        <v>1451</v>
      </c>
      <c r="H191" s="88">
        <v>1597</v>
      </c>
      <c r="I191" s="88">
        <v>1875</v>
      </c>
      <c r="J191" s="88">
        <v>1644</v>
      </c>
      <c r="K191" s="88">
        <v>1447</v>
      </c>
      <c r="L191" s="88">
        <v>1515</v>
      </c>
      <c r="M191" s="88">
        <v>1742</v>
      </c>
      <c r="N191" s="88">
        <v>1507</v>
      </c>
      <c r="O191" s="88">
        <v>1415</v>
      </c>
      <c r="P191" s="89">
        <f>SUM(D191:O191)</f>
        <v>19373</v>
      </c>
    </row>
    <row r="192" spans="1:17" ht="9.75" hidden="1" customHeight="1" x14ac:dyDescent="0.25">
      <c r="A192"/>
      <c r="B192" s="86"/>
      <c r="C192" s="129" t="s">
        <v>142</v>
      </c>
      <c r="D192" s="123">
        <v>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23">
        <v>0</v>
      </c>
      <c r="N192" s="123">
        <v>0</v>
      </c>
      <c r="O192" s="91">
        <v>0</v>
      </c>
      <c r="P192" s="89">
        <f>SUM(D192:O192)</f>
        <v>0</v>
      </c>
    </row>
    <row r="193" spans="1:17" ht="9.75" hidden="1" customHeight="1" x14ac:dyDescent="0.25">
      <c r="A193"/>
      <c r="B193" s="86"/>
      <c r="C193" s="87" t="s">
        <v>137</v>
      </c>
      <c r="D193" s="88">
        <v>3743</v>
      </c>
      <c r="E193" s="88">
        <v>3044</v>
      </c>
      <c r="F193" s="88">
        <v>4804</v>
      </c>
      <c r="G193" s="88">
        <v>3341</v>
      </c>
      <c r="H193" s="88">
        <v>2924</v>
      </c>
      <c r="I193" s="88">
        <v>5123</v>
      </c>
      <c r="J193" s="88">
        <v>2942</v>
      </c>
      <c r="K193" s="88">
        <v>2604</v>
      </c>
      <c r="L193" s="88">
        <v>2385</v>
      </c>
      <c r="M193" s="88">
        <v>3333</v>
      </c>
      <c r="N193" s="88">
        <v>2433</v>
      </c>
      <c r="O193" s="88">
        <v>2182</v>
      </c>
      <c r="P193" s="89">
        <f>SUM(D193:O193)</f>
        <v>38858</v>
      </c>
    </row>
    <row r="194" spans="1:17" ht="10.199999999999999" hidden="1" customHeight="1" x14ac:dyDescent="0.25">
      <c r="A194"/>
      <c r="B194" s="90"/>
      <c r="C194" s="87" t="s">
        <v>140</v>
      </c>
      <c r="D194" s="88">
        <v>1012</v>
      </c>
      <c r="E194" s="88">
        <v>195</v>
      </c>
      <c r="F194" s="88">
        <v>720</v>
      </c>
      <c r="G194" s="88">
        <v>593</v>
      </c>
      <c r="H194" s="88">
        <v>1306</v>
      </c>
      <c r="I194" s="88">
        <v>1065</v>
      </c>
      <c r="J194" s="88">
        <v>627</v>
      </c>
      <c r="K194" s="88">
        <v>544</v>
      </c>
      <c r="L194" s="88">
        <v>689</v>
      </c>
      <c r="M194" s="88">
        <v>595</v>
      </c>
      <c r="N194" s="88">
        <v>1098</v>
      </c>
      <c r="O194" s="88">
        <v>765</v>
      </c>
      <c r="P194" s="89">
        <f>SUM(D194:O194)</f>
        <v>9209</v>
      </c>
    </row>
    <row r="195" spans="1:17" ht="9.9" hidden="1" customHeight="1" x14ac:dyDescent="0.25">
      <c r="A195"/>
      <c r="B195" s="102"/>
      <c r="C195" s="95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7"/>
    </row>
    <row r="196" spans="1:17" ht="9.9" hidden="1" customHeight="1" x14ac:dyDescent="0.25">
      <c r="A196"/>
      <c r="B196" s="82" t="s">
        <v>27</v>
      </c>
      <c r="C196" s="83"/>
      <c r="D196" s="84">
        <f t="shared" ref="D196:P196" si="49">SUM(D197:D198)</f>
        <v>9350</v>
      </c>
      <c r="E196" s="84">
        <f t="shared" si="49"/>
        <v>7550</v>
      </c>
      <c r="F196" s="84">
        <f t="shared" si="49"/>
        <v>16600</v>
      </c>
      <c r="G196" s="84">
        <f t="shared" si="49"/>
        <v>15000</v>
      </c>
      <c r="H196" s="84">
        <f t="shared" si="49"/>
        <v>13416</v>
      </c>
      <c r="I196" s="84">
        <f t="shared" si="49"/>
        <v>15688</v>
      </c>
      <c r="J196" s="84">
        <f t="shared" si="49"/>
        <v>14381</v>
      </c>
      <c r="K196" s="84">
        <f t="shared" si="49"/>
        <v>10235</v>
      </c>
      <c r="L196" s="84">
        <f t="shared" si="49"/>
        <v>11590</v>
      </c>
      <c r="M196" s="84">
        <f t="shared" si="49"/>
        <v>10926</v>
      </c>
      <c r="N196" s="84">
        <f t="shared" si="49"/>
        <v>11648</v>
      </c>
      <c r="O196" s="84">
        <f t="shared" si="49"/>
        <v>9079</v>
      </c>
      <c r="P196" s="84">
        <f t="shared" si="49"/>
        <v>145463</v>
      </c>
    </row>
    <row r="197" spans="1:17" ht="9.9" hidden="1" customHeight="1" x14ac:dyDescent="0.25">
      <c r="A197"/>
      <c r="B197" s="86"/>
      <c r="C197" s="148" t="s">
        <v>80</v>
      </c>
      <c r="D197" s="149">
        <v>6883</v>
      </c>
      <c r="E197" s="149">
        <v>6708</v>
      </c>
      <c r="F197" s="150">
        <v>13568</v>
      </c>
      <c r="G197" s="151">
        <v>11566</v>
      </c>
      <c r="H197" s="150">
        <v>10343</v>
      </c>
      <c r="I197" s="152">
        <v>11651</v>
      </c>
      <c r="J197" s="152">
        <f>10310+453</f>
        <v>10763</v>
      </c>
      <c r="K197" s="150">
        <v>7019</v>
      </c>
      <c r="L197" s="150">
        <v>7372</v>
      </c>
      <c r="M197" s="150">
        <v>6735</v>
      </c>
      <c r="N197" s="150">
        <v>8142</v>
      </c>
      <c r="O197" s="150">
        <v>5724</v>
      </c>
      <c r="P197" s="153">
        <f>SUM(D197:O197)</f>
        <v>106474</v>
      </c>
    </row>
    <row r="198" spans="1:17" ht="9.9" hidden="1" customHeight="1" x14ac:dyDescent="0.25">
      <c r="A198"/>
      <c r="B198" s="90"/>
      <c r="C198" s="87" t="s">
        <v>141</v>
      </c>
      <c r="D198" s="100">
        <v>2467</v>
      </c>
      <c r="E198" s="100">
        <v>842</v>
      </c>
      <c r="F198" s="88">
        <v>3032</v>
      </c>
      <c r="G198" s="101">
        <v>3434</v>
      </c>
      <c r="H198" s="88">
        <v>3073</v>
      </c>
      <c r="I198" s="98">
        <v>4037</v>
      </c>
      <c r="J198" s="99">
        <v>3618</v>
      </c>
      <c r="K198" s="91">
        <v>3216</v>
      </c>
      <c r="L198" s="91">
        <v>4218</v>
      </c>
      <c r="M198" s="91">
        <v>4191</v>
      </c>
      <c r="N198" s="91">
        <v>3506</v>
      </c>
      <c r="O198" s="91">
        <v>3355</v>
      </c>
      <c r="P198" s="89">
        <f>SUM(D198:O198)</f>
        <v>38989</v>
      </c>
    </row>
    <row r="199" spans="1:17" s="208" customFormat="1" ht="8.4" hidden="1" customHeight="1" x14ac:dyDescent="0.25">
      <c r="A199"/>
      <c r="B199" s="102"/>
      <c r="C199" s="95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7"/>
      <c r="Q199" s="207"/>
    </row>
    <row r="200" spans="1:17" ht="9.9" hidden="1" customHeight="1" x14ac:dyDescent="0.25">
      <c r="B200" s="82" t="s">
        <v>114</v>
      </c>
      <c r="C200" s="83"/>
      <c r="D200" s="84">
        <f t="shared" ref="D200:P200" si="50">SUM(D201:D203)</f>
        <v>1835</v>
      </c>
      <c r="E200" s="84">
        <f t="shared" si="50"/>
        <v>1459</v>
      </c>
      <c r="F200" s="84">
        <f t="shared" si="50"/>
        <v>5006</v>
      </c>
      <c r="G200" s="84">
        <f t="shared" si="50"/>
        <v>4288</v>
      </c>
      <c r="H200" s="84">
        <f t="shared" si="50"/>
        <v>2913</v>
      </c>
      <c r="I200" s="84">
        <f t="shared" si="50"/>
        <v>3076</v>
      </c>
      <c r="J200" s="84">
        <f t="shared" si="50"/>
        <v>2922</v>
      </c>
      <c r="K200" s="84">
        <f t="shared" si="50"/>
        <v>1574</v>
      </c>
      <c r="L200" s="84">
        <f t="shared" si="50"/>
        <v>3109</v>
      </c>
      <c r="M200" s="84">
        <f t="shared" si="50"/>
        <v>1793</v>
      </c>
      <c r="N200" s="84">
        <f t="shared" si="50"/>
        <v>2217</v>
      </c>
      <c r="O200" s="84">
        <f t="shared" si="50"/>
        <v>1710</v>
      </c>
      <c r="P200" s="85">
        <f t="shared" si="50"/>
        <v>31902</v>
      </c>
    </row>
    <row r="201" spans="1:17" ht="9.9" hidden="1" customHeight="1" x14ac:dyDescent="0.25">
      <c r="B201" s="86"/>
      <c r="C201" s="87" t="s">
        <v>129</v>
      </c>
      <c r="D201" s="100">
        <v>1372</v>
      </c>
      <c r="E201" s="100">
        <v>1177</v>
      </c>
      <c r="F201" s="88">
        <v>2918</v>
      </c>
      <c r="G201" s="101">
        <v>2116</v>
      </c>
      <c r="H201" s="88">
        <v>1416</v>
      </c>
      <c r="I201" s="98">
        <v>1776</v>
      </c>
      <c r="J201" s="99">
        <v>1503</v>
      </c>
      <c r="K201" s="91">
        <v>533</v>
      </c>
      <c r="L201" s="91">
        <v>1541</v>
      </c>
      <c r="M201" s="91">
        <v>1154</v>
      </c>
      <c r="N201" s="91">
        <v>1330</v>
      </c>
      <c r="O201" s="91">
        <v>1054</v>
      </c>
      <c r="P201" s="89">
        <f>SUM(D201:O201)</f>
        <v>17890</v>
      </c>
    </row>
    <row r="202" spans="1:17" ht="9.9" hidden="1" customHeight="1" x14ac:dyDescent="0.25">
      <c r="B202" s="86"/>
      <c r="C202" s="87" t="s">
        <v>144</v>
      </c>
      <c r="D202" s="100">
        <v>35</v>
      </c>
      <c r="E202" s="100">
        <v>213</v>
      </c>
      <c r="F202" s="88">
        <v>1391</v>
      </c>
      <c r="G202" s="101">
        <v>1232</v>
      </c>
      <c r="H202" s="88">
        <v>531</v>
      </c>
      <c r="I202" s="98">
        <v>737</v>
      </c>
      <c r="J202" s="98">
        <v>999</v>
      </c>
      <c r="K202" s="88">
        <v>870</v>
      </c>
      <c r="L202" s="88">
        <v>1053</v>
      </c>
      <c r="M202" s="88">
        <v>451</v>
      </c>
      <c r="N202" s="88">
        <v>376</v>
      </c>
      <c r="O202" s="88">
        <v>178</v>
      </c>
      <c r="P202" s="89">
        <f>SUM(D202:O202)</f>
        <v>8066</v>
      </c>
    </row>
    <row r="203" spans="1:17" ht="9.6" hidden="1" customHeight="1" x14ac:dyDescent="0.25">
      <c r="B203" s="90"/>
      <c r="C203" s="87" t="s">
        <v>143</v>
      </c>
      <c r="D203" s="100">
        <v>428</v>
      </c>
      <c r="E203" s="100">
        <v>69</v>
      </c>
      <c r="F203" s="88">
        <v>697</v>
      </c>
      <c r="G203" s="101">
        <v>940</v>
      </c>
      <c r="H203" s="88">
        <v>966</v>
      </c>
      <c r="I203" s="98">
        <v>563</v>
      </c>
      <c r="J203" s="98">
        <v>420</v>
      </c>
      <c r="K203" s="88">
        <v>171</v>
      </c>
      <c r="L203" s="88">
        <v>515</v>
      </c>
      <c r="M203" s="88">
        <v>188</v>
      </c>
      <c r="N203" s="88">
        <v>511</v>
      </c>
      <c r="O203" s="88">
        <v>478</v>
      </c>
      <c r="P203" s="89">
        <f>SUM(D203:O203)</f>
        <v>5946</v>
      </c>
    </row>
    <row r="204" spans="1:17" s="208" customFormat="1" ht="9.6" hidden="1" customHeight="1" x14ac:dyDescent="0.25">
      <c r="A204" s="203"/>
      <c r="B204" s="102"/>
      <c r="C204" s="102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6"/>
      <c r="Q204" s="207"/>
    </row>
    <row r="205" spans="1:17" ht="9.9" hidden="1" customHeight="1" x14ac:dyDescent="0.25">
      <c r="B205" s="82" t="s">
        <v>60</v>
      </c>
      <c r="C205" s="83"/>
      <c r="D205" s="84">
        <f t="shared" ref="D205:P205" si="51">SUM(D206:D208)</f>
        <v>1766</v>
      </c>
      <c r="E205" s="84">
        <f t="shared" si="51"/>
        <v>1534</v>
      </c>
      <c r="F205" s="84">
        <f t="shared" si="51"/>
        <v>2612</v>
      </c>
      <c r="G205" s="84">
        <f t="shared" si="51"/>
        <v>1718</v>
      </c>
      <c r="H205" s="84">
        <f t="shared" si="51"/>
        <v>2353</v>
      </c>
      <c r="I205" s="84">
        <f t="shared" si="51"/>
        <v>3115</v>
      </c>
      <c r="J205" s="84">
        <f t="shared" si="51"/>
        <v>1686</v>
      </c>
      <c r="K205" s="84">
        <f t="shared" si="51"/>
        <v>1664</v>
      </c>
      <c r="L205" s="84">
        <f t="shared" si="51"/>
        <v>2196</v>
      </c>
      <c r="M205" s="84">
        <f t="shared" si="51"/>
        <v>3063</v>
      </c>
      <c r="N205" s="84">
        <f t="shared" si="51"/>
        <v>7490</v>
      </c>
      <c r="O205" s="84">
        <f t="shared" si="51"/>
        <v>6947</v>
      </c>
      <c r="P205" s="85">
        <f t="shared" si="51"/>
        <v>36144</v>
      </c>
    </row>
    <row r="206" spans="1:17" ht="9.9" hidden="1" customHeight="1" x14ac:dyDescent="0.25">
      <c r="B206" s="86"/>
      <c r="C206" s="87" t="s">
        <v>156</v>
      </c>
      <c r="D206" s="100">
        <v>1766</v>
      </c>
      <c r="E206" s="100">
        <v>1534</v>
      </c>
      <c r="F206" s="88">
        <v>2612</v>
      </c>
      <c r="G206" s="101">
        <v>1718</v>
      </c>
      <c r="H206" s="88">
        <v>2353</v>
      </c>
      <c r="I206" s="98">
        <v>3115</v>
      </c>
      <c r="J206" s="99">
        <v>1686</v>
      </c>
      <c r="K206" s="91">
        <v>1664</v>
      </c>
      <c r="L206" s="91">
        <v>2191</v>
      </c>
      <c r="M206" s="91">
        <v>2221</v>
      </c>
      <c r="N206" s="91">
        <v>1276</v>
      </c>
      <c r="O206" s="91">
        <v>43</v>
      </c>
      <c r="P206" s="89">
        <f>SUM(D206:O206)</f>
        <v>22179</v>
      </c>
    </row>
    <row r="207" spans="1:17" ht="9.9" hidden="1" customHeight="1" x14ac:dyDescent="0.25">
      <c r="B207" s="86"/>
      <c r="C207" s="87" t="s">
        <v>157</v>
      </c>
      <c r="D207" s="100">
        <v>0</v>
      </c>
      <c r="E207" s="100">
        <v>0</v>
      </c>
      <c r="F207" s="88">
        <v>0</v>
      </c>
      <c r="G207" s="101">
        <v>0</v>
      </c>
      <c r="H207" s="88">
        <v>0</v>
      </c>
      <c r="I207" s="98">
        <v>0</v>
      </c>
      <c r="J207" s="98">
        <v>0</v>
      </c>
      <c r="K207" s="88">
        <v>0</v>
      </c>
      <c r="L207" s="88">
        <v>5</v>
      </c>
      <c r="M207" s="88">
        <v>472</v>
      </c>
      <c r="N207" s="88">
        <v>3231</v>
      </c>
      <c r="O207" s="88">
        <v>3651</v>
      </c>
      <c r="P207" s="89">
        <f>SUM(D207:O207)</f>
        <v>7359</v>
      </c>
    </row>
    <row r="208" spans="1:17" s="197" customFormat="1" ht="10.95" hidden="1" customHeight="1" x14ac:dyDescent="0.25">
      <c r="A208" s="20"/>
      <c r="B208" s="90"/>
      <c r="C208" s="87" t="s">
        <v>158</v>
      </c>
      <c r="D208" s="100">
        <v>0</v>
      </c>
      <c r="E208" s="100">
        <v>0</v>
      </c>
      <c r="F208" s="88">
        <v>0</v>
      </c>
      <c r="G208" s="101">
        <v>0</v>
      </c>
      <c r="H208" s="88">
        <v>0</v>
      </c>
      <c r="I208" s="98">
        <v>0</v>
      </c>
      <c r="J208" s="98">
        <v>0</v>
      </c>
      <c r="K208" s="88">
        <v>0</v>
      </c>
      <c r="L208" s="88">
        <v>0</v>
      </c>
      <c r="M208" s="88">
        <v>370</v>
      </c>
      <c r="N208" s="88">
        <v>2983</v>
      </c>
      <c r="O208" s="88">
        <v>3253</v>
      </c>
      <c r="P208" s="89">
        <f>SUM(D208:O208)</f>
        <v>6606</v>
      </c>
      <c r="Q208" s="196"/>
    </row>
    <row r="209" spans="1:17" ht="9" hidden="1" customHeight="1" x14ac:dyDescent="0.25">
      <c r="A209" s="203"/>
      <c r="B209" s="102"/>
      <c r="C209" s="102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6"/>
    </row>
    <row r="210" spans="1:17" ht="9.9" hidden="1" customHeight="1" x14ac:dyDescent="0.25">
      <c r="B210" s="82" t="s">
        <v>118</v>
      </c>
      <c r="C210" s="83"/>
      <c r="D210" s="84">
        <f t="shared" ref="D210:P210" si="52">SUM(D211:D212)</f>
        <v>1186</v>
      </c>
      <c r="E210" s="84">
        <f t="shared" si="52"/>
        <v>783</v>
      </c>
      <c r="F210" s="84">
        <f t="shared" si="52"/>
        <v>617</v>
      </c>
      <c r="G210" s="84">
        <f t="shared" si="52"/>
        <v>4416</v>
      </c>
      <c r="H210" s="84">
        <f t="shared" si="52"/>
        <v>7582</v>
      </c>
      <c r="I210" s="84">
        <f t="shared" si="52"/>
        <v>7905</v>
      </c>
      <c r="J210" s="84">
        <f t="shared" si="52"/>
        <v>6504</v>
      </c>
      <c r="K210" s="84">
        <f t="shared" si="52"/>
        <v>4100</v>
      </c>
      <c r="L210" s="84">
        <f t="shared" si="52"/>
        <v>6040</v>
      </c>
      <c r="M210" s="84">
        <f t="shared" si="52"/>
        <v>5268</v>
      </c>
      <c r="N210" s="84">
        <f t="shared" si="52"/>
        <v>5019</v>
      </c>
      <c r="O210" s="84">
        <f t="shared" si="52"/>
        <v>6730</v>
      </c>
      <c r="P210" s="85">
        <f t="shared" si="52"/>
        <v>56150</v>
      </c>
    </row>
    <row r="211" spans="1:17" ht="9.9" hidden="1" customHeight="1" x14ac:dyDescent="0.25">
      <c r="B211" s="86"/>
      <c r="C211" s="87" t="s">
        <v>151</v>
      </c>
      <c r="D211" s="100">
        <v>1186</v>
      </c>
      <c r="E211" s="100">
        <v>783</v>
      </c>
      <c r="F211" s="88">
        <v>546</v>
      </c>
      <c r="G211" s="101">
        <v>259</v>
      </c>
      <c r="H211" s="88">
        <v>66</v>
      </c>
      <c r="I211" s="98">
        <v>16</v>
      </c>
      <c r="J211" s="98">
        <v>40</v>
      </c>
      <c r="K211" s="88">
        <v>1</v>
      </c>
      <c r="L211" s="88">
        <v>0</v>
      </c>
      <c r="M211" s="88">
        <v>0</v>
      </c>
      <c r="N211" s="88">
        <v>0</v>
      </c>
      <c r="O211" s="88">
        <v>0</v>
      </c>
      <c r="P211" s="89">
        <f>SUM(D211:O211)</f>
        <v>2897</v>
      </c>
    </row>
    <row r="212" spans="1:17" s="16" customFormat="1" ht="10.95" hidden="1" customHeight="1" x14ac:dyDescent="0.25">
      <c r="A212" s="20"/>
      <c r="B212" s="90"/>
      <c r="C212" s="87" t="s">
        <v>152</v>
      </c>
      <c r="D212" s="100">
        <v>0</v>
      </c>
      <c r="E212" s="100">
        <v>0</v>
      </c>
      <c r="F212" s="100">
        <v>71</v>
      </c>
      <c r="G212" s="100">
        <v>4157</v>
      </c>
      <c r="H212" s="100">
        <v>7516</v>
      </c>
      <c r="I212" s="100">
        <v>7889</v>
      </c>
      <c r="J212" s="100">
        <v>6464</v>
      </c>
      <c r="K212" s="100">
        <v>4099</v>
      </c>
      <c r="L212" s="100">
        <v>6040</v>
      </c>
      <c r="M212" s="100">
        <v>5268</v>
      </c>
      <c r="N212" s="91">
        <v>5019</v>
      </c>
      <c r="O212" s="91">
        <v>6730</v>
      </c>
      <c r="P212" s="89">
        <f>SUM(D212:O212)</f>
        <v>53253</v>
      </c>
      <c r="Q212" s="113"/>
    </row>
    <row r="213" spans="1:17" ht="8.4" hidden="1" customHeight="1" x14ac:dyDescent="0.25">
      <c r="A213" s="191"/>
      <c r="B213" s="192"/>
      <c r="C213" s="192"/>
      <c r="D213" s="193"/>
      <c r="E213" s="193"/>
      <c r="F213" s="193"/>
      <c r="G213" s="193"/>
      <c r="H213" s="193"/>
      <c r="I213" s="193"/>
      <c r="J213" s="194"/>
      <c r="K213" s="194"/>
      <c r="L213" s="194"/>
      <c r="M213" s="194"/>
      <c r="N213" s="194"/>
      <c r="O213" s="194"/>
      <c r="P213" s="195"/>
    </row>
    <row r="214" spans="1:17" ht="12.75" hidden="1" customHeight="1" x14ac:dyDescent="0.25">
      <c r="B214" s="82" t="s">
        <v>12</v>
      </c>
      <c r="C214" s="83"/>
      <c r="D214" s="84">
        <f t="shared" ref="D214:P214" si="53">SUM(D215:D216)</f>
        <v>7480</v>
      </c>
      <c r="E214" s="84">
        <f t="shared" si="53"/>
        <v>7875</v>
      </c>
      <c r="F214" s="84">
        <f t="shared" si="53"/>
        <v>9174</v>
      </c>
      <c r="G214" s="84">
        <f t="shared" si="53"/>
        <v>7570</v>
      </c>
      <c r="H214" s="84">
        <f t="shared" si="53"/>
        <v>6322</v>
      </c>
      <c r="I214" s="84">
        <f t="shared" si="53"/>
        <v>7641</v>
      </c>
      <c r="J214" s="84">
        <f t="shared" si="53"/>
        <v>9172</v>
      </c>
      <c r="K214" s="84">
        <f t="shared" si="53"/>
        <v>7118</v>
      </c>
      <c r="L214" s="84">
        <f t="shared" si="53"/>
        <v>8995</v>
      </c>
      <c r="M214" s="84">
        <f t="shared" si="53"/>
        <v>8523</v>
      </c>
      <c r="N214" s="84">
        <f t="shared" si="53"/>
        <v>8062</v>
      </c>
      <c r="O214" s="84">
        <f t="shared" si="53"/>
        <v>7262</v>
      </c>
      <c r="P214" s="85">
        <f t="shared" si="53"/>
        <v>95194</v>
      </c>
    </row>
    <row r="215" spans="1:17" ht="12.75" hidden="1" customHeight="1" x14ac:dyDescent="0.25">
      <c r="B215" s="86"/>
      <c r="C215" s="87" t="s">
        <v>12</v>
      </c>
      <c r="D215" s="100">
        <v>7165</v>
      </c>
      <c r="E215" s="100">
        <v>6916</v>
      </c>
      <c r="F215" s="88">
        <v>8409</v>
      </c>
      <c r="G215" s="101">
        <v>6925</v>
      </c>
      <c r="H215" s="88">
        <v>5804</v>
      </c>
      <c r="I215" s="98">
        <v>7391</v>
      </c>
      <c r="J215" s="98">
        <v>8759</v>
      </c>
      <c r="K215" s="88">
        <v>6514</v>
      </c>
      <c r="L215" s="88">
        <v>7182</v>
      </c>
      <c r="M215" s="88">
        <v>7182</v>
      </c>
      <c r="N215" s="88">
        <v>7100</v>
      </c>
      <c r="O215" s="88">
        <v>6810</v>
      </c>
      <c r="P215" s="89">
        <f>SUM(D215:O215)</f>
        <v>86157</v>
      </c>
      <c r="Q215"/>
    </row>
    <row r="216" spans="1:17" ht="12.75" hidden="1" customHeight="1" x14ac:dyDescent="0.25">
      <c r="A216"/>
      <c r="B216" s="90"/>
      <c r="C216" s="87" t="s">
        <v>144</v>
      </c>
      <c r="D216" s="100">
        <v>315</v>
      </c>
      <c r="E216" s="100">
        <v>959</v>
      </c>
      <c r="F216" s="100">
        <v>765</v>
      </c>
      <c r="G216" s="100">
        <v>645</v>
      </c>
      <c r="H216" s="100">
        <v>518</v>
      </c>
      <c r="I216" s="100">
        <v>250</v>
      </c>
      <c r="J216" s="100">
        <v>413</v>
      </c>
      <c r="K216" s="100">
        <v>604</v>
      </c>
      <c r="L216" s="100">
        <v>1813</v>
      </c>
      <c r="M216" s="100">
        <v>1341</v>
      </c>
      <c r="N216" s="91">
        <v>962</v>
      </c>
      <c r="O216" s="91">
        <v>452</v>
      </c>
      <c r="P216" s="89">
        <f>SUM(D216:O216)</f>
        <v>9037</v>
      </c>
      <c r="Q216"/>
    </row>
    <row r="217" spans="1:17" ht="12.75" hidden="1" customHeight="1" x14ac:dyDescent="0.25">
      <c r="A217" s="16"/>
      <c r="B217" s="16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6"/>
      <c r="Q217"/>
    </row>
    <row r="218" spans="1:17" ht="12.75" hidden="1" customHeight="1" thickBot="1" x14ac:dyDescent="0.3">
      <c r="A218"/>
      <c r="B218" s="18" t="s">
        <v>136</v>
      </c>
      <c r="C218" s="18"/>
      <c r="Q218"/>
    </row>
    <row r="219" spans="1:17" ht="12.75" hidden="1" customHeight="1" thickBot="1" x14ac:dyDescent="0.3">
      <c r="A219"/>
      <c r="B219" s="437" t="s">
        <v>1</v>
      </c>
      <c r="C219" s="438"/>
      <c r="D219" s="21">
        <v>1</v>
      </c>
      <c r="E219" s="22">
        <v>2</v>
      </c>
      <c r="F219" s="22">
        <v>3</v>
      </c>
      <c r="G219" s="22">
        <v>4</v>
      </c>
      <c r="H219" s="22">
        <v>5</v>
      </c>
      <c r="I219" s="22">
        <v>6</v>
      </c>
      <c r="J219" s="22">
        <v>7</v>
      </c>
      <c r="K219" s="22">
        <v>8</v>
      </c>
      <c r="L219" s="22">
        <v>9</v>
      </c>
      <c r="M219" s="22">
        <v>10</v>
      </c>
      <c r="N219" s="22">
        <v>11</v>
      </c>
      <c r="O219" s="22">
        <v>12</v>
      </c>
      <c r="P219" s="23" t="s">
        <v>0</v>
      </c>
      <c r="Q219"/>
    </row>
    <row r="220" spans="1:17" ht="12.75" hidden="1" customHeight="1" x14ac:dyDescent="0.25">
      <c r="A220"/>
      <c r="B220" s="445" t="s">
        <v>46</v>
      </c>
      <c r="C220" s="175" t="s">
        <v>21</v>
      </c>
      <c r="D220" s="39">
        <v>406</v>
      </c>
      <c r="E220" s="40">
        <v>370</v>
      </c>
      <c r="F220" s="39">
        <v>415</v>
      </c>
      <c r="G220" s="40">
        <v>467</v>
      </c>
      <c r="H220" s="40">
        <v>399</v>
      </c>
      <c r="I220" s="40">
        <v>404</v>
      </c>
      <c r="J220" s="40">
        <v>391</v>
      </c>
      <c r="K220" s="40">
        <v>228</v>
      </c>
      <c r="L220" s="40">
        <v>215</v>
      </c>
      <c r="M220" s="40">
        <v>249</v>
      </c>
      <c r="N220" s="40">
        <v>447</v>
      </c>
      <c r="O220" s="40">
        <v>103</v>
      </c>
      <c r="P220" s="41">
        <f t="shared" ref="P220:P227" si="54">SUM(D220:O220)</f>
        <v>4094</v>
      </c>
      <c r="Q220"/>
    </row>
    <row r="221" spans="1:17" ht="12.75" hidden="1" customHeight="1" x14ac:dyDescent="0.25">
      <c r="A221"/>
      <c r="B221" s="443"/>
      <c r="C221" s="176" t="s">
        <v>22</v>
      </c>
      <c r="D221" s="76">
        <v>194</v>
      </c>
      <c r="E221" s="77">
        <v>181</v>
      </c>
      <c r="F221" s="76">
        <v>201</v>
      </c>
      <c r="G221" s="77">
        <v>150</v>
      </c>
      <c r="H221" s="77">
        <v>293</v>
      </c>
      <c r="I221" s="77">
        <v>232</v>
      </c>
      <c r="J221" s="77">
        <v>178</v>
      </c>
      <c r="K221" s="77">
        <v>161</v>
      </c>
      <c r="L221" s="79">
        <v>131</v>
      </c>
      <c r="M221" s="77">
        <v>127</v>
      </c>
      <c r="N221" s="77">
        <v>159</v>
      </c>
      <c r="O221" s="77">
        <v>168</v>
      </c>
      <c r="P221" s="78">
        <f t="shared" si="54"/>
        <v>2175</v>
      </c>
      <c r="Q221"/>
    </row>
    <row r="222" spans="1:17" ht="12.75" hidden="1" customHeight="1" x14ac:dyDescent="0.25">
      <c r="A222"/>
      <c r="B222" s="443"/>
      <c r="C222" s="176" t="s">
        <v>24</v>
      </c>
      <c r="D222" s="76">
        <v>5428</v>
      </c>
      <c r="E222" s="76">
        <v>4973</v>
      </c>
      <c r="F222" s="76">
        <v>5603</v>
      </c>
      <c r="G222" s="76">
        <v>5774</v>
      </c>
      <c r="H222" s="76">
        <v>4752</v>
      </c>
      <c r="I222" s="76">
        <v>5654</v>
      </c>
      <c r="J222" s="76">
        <v>5428</v>
      </c>
      <c r="K222" s="76">
        <v>4893</v>
      </c>
      <c r="L222" s="76">
        <v>4900</v>
      </c>
      <c r="M222" s="76">
        <v>6571</v>
      </c>
      <c r="N222" s="76">
        <v>4475</v>
      </c>
      <c r="O222" s="76">
        <v>3653</v>
      </c>
      <c r="P222" s="31">
        <f t="shared" si="54"/>
        <v>62104</v>
      </c>
      <c r="Q222"/>
    </row>
    <row r="223" spans="1:17" ht="12.75" hidden="1" customHeight="1" x14ac:dyDescent="0.25">
      <c r="A223"/>
      <c r="B223" s="443"/>
      <c r="C223" s="176" t="s">
        <v>69</v>
      </c>
      <c r="D223" s="76">
        <v>136</v>
      </c>
      <c r="E223" s="76">
        <v>283</v>
      </c>
      <c r="F223" s="76">
        <v>623</v>
      </c>
      <c r="G223" s="76">
        <v>498</v>
      </c>
      <c r="H223" s="76">
        <v>423</v>
      </c>
      <c r="I223" s="76">
        <v>713</v>
      </c>
      <c r="J223" s="76">
        <v>705</v>
      </c>
      <c r="K223" s="76">
        <v>679</v>
      </c>
      <c r="L223" s="76">
        <v>624</v>
      </c>
      <c r="M223" s="76">
        <v>457</v>
      </c>
      <c r="N223" s="76">
        <v>352</v>
      </c>
      <c r="O223" s="76">
        <v>534</v>
      </c>
      <c r="P223" s="27">
        <f t="shared" si="54"/>
        <v>6027</v>
      </c>
      <c r="Q223"/>
    </row>
    <row r="224" spans="1:17" ht="12.75" hidden="1" customHeight="1" x14ac:dyDescent="0.25">
      <c r="A224"/>
      <c r="B224" s="443"/>
      <c r="C224" s="177" t="s">
        <v>3</v>
      </c>
      <c r="D224" s="29">
        <v>158</v>
      </c>
      <c r="E224" s="30">
        <v>106</v>
      </c>
      <c r="F224" s="29">
        <v>205</v>
      </c>
      <c r="G224" s="30">
        <v>149</v>
      </c>
      <c r="H224" s="30">
        <v>150</v>
      </c>
      <c r="I224" s="30">
        <v>84</v>
      </c>
      <c r="J224" s="30">
        <v>92</v>
      </c>
      <c r="K224" s="30">
        <v>142</v>
      </c>
      <c r="L224" s="32">
        <v>109</v>
      </c>
      <c r="M224" s="30">
        <v>82</v>
      </c>
      <c r="N224" s="30">
        <v>85</v>
      </c>
      <c r="O224" s="30">
        <v>65</v>
      </c>
      <c r="P224" s="78">
        <f t="shared" si="54"/>
        <v>1427</v>
      </c>
      <c r="Q224"/>
    </row>
    <row r="225" spans="1:17" ht="12.75" hidden="1" customHeight="1" x14ac:dyDescent="0.25">
      <c r="A225"/>
      <c r="B225" s="443"/>
      <c r="C225" s="178" t="s">
        <v>25</v>
      </c>
      <c r="D225" s="74">
        <v>4541</v>
      </c>
      <c r="E225" s="74">
        <v>5680</v>
      </c>
      <c r="F225" s="74">
        <v>6036</v>
      </c>
      <c r="G225" s="74">
        <v>8836</v>
      </c>
      <c r="H225" s="74">
        <v>13376</v>
      </c>
      <c r="I225" s="74">
        <v>9822</v>
      </c>
      <c r="J225" s="74">
        <v>8071</v>
      </c>
      <c r="K225" s="74">
        <v>8393</v>
      </c>
      <c r="L225" s="74">
        <v>7156</v>
      </c>
      <c r="M225" s="74">
        <v>10688</v>
      </c>
      <c r="N225" s="74">
        <v>8832</v>
      </c>
      <c r="O225" s="74">
        <v>8572</v>
      </c>
      <c r="P225" s="78">
        <f t="shared" si="54"/>
        <v>100003</v>
      </c>
      <c r="Q225"/>
    </row>
    <row r="226" spans="1:17" ht="12.75" hidden="1" customHeight="1" x14ac:dyDescent="0.25">
      <c r="A226"/>
      <c r="B226" s="443"/>
      <c r="C226" s="178" t="s">
        <v>44</v>
      </c>
      <c r="D226" s="74">
        <v>7</v>
      </c>
      <c r="E226" s="74">
        <v>14</v>
      </c>
      <c r="F226" s="74">
        <v>16</v>
      </c>
      <c r="G226" s="74">
        <v>6</v>
      </c>
      <c r="H226" s="74">
        <v>16</v>
      </c>
      <c r="I226" s="74">
        <v>2</v>
      </c>
      <c r="J226" s="74">
        <v>0</v>
      </c>
      <c r="K226" s="74">
        <v>2</v>
      </c>
      <c r="L226" s="74">
        <v>0</v>
      </c>
      <c r="M226" s="74">
        <v>0</v>
      </c>
      <c r="N226" s="74">
        <v>0</v>
      </c>
      <c r="O226" s="74">
        <v>0</v>
      </c>
      <c r="P226" s="78">
        <f t="shared" si="54"/>
        <v>63</v>
      </c>
      <c r="Q226"/>
    </row>
    <row r="227" spans="1:17" ht="12.75" hidden="1" customHeight="1" x14ac:dyDescent="0.25">
      <c r="A227"/>
      <c r="B227" s="443"/>
      <c r="C227" s="179" t="s">
        <v>27</v>
      </c>
      <c r="D227" s="72">
        <v>10077</v>
      </c>
      <c r="E227" s="72">
        <v>7720</v>
      </c>
      <c r="F227" s="72">
        <v>10531</v>
      </c>
      <c r="G227" s="72">
        <v>10135</v>
      </c>
      <c r="H227" s="72">
        <v>8327</v>
      </c>
      <c r="I227" s="72">
        <v>6652</v>
      </c>
      <c r="J227" s="72">
        <v>6135</v>
      </c>
      <c r="K227" s="72">
        <v>5514</v>
      </c>
      <c r="L227" s="72">
        <v>4814</v>
      </c>
      <c r="M227" s="72">
        <v>9867</v>
      </c>
      <c r="N227" s="72">
        <v>10407</v>
      </c>
      <c r="O227" s="72">
        <v>13170</v>
      </c>
      <c r="P227" s="78">
        <f t="shared" si="54"/>
        <v>103349</v>
      </c>
      <c r="Q227"/>
    </row>
    <row r="228" spans="1:17" ht="12.75" hidden="1" customHeight="1" thickBot="1" x14ac:dyDescent="0.3">
      <c r="A228"/>
      <c r="B228" s="432"/>
      <c r="C228" s="181" t="s">
        <v>0</v>
      </c>
      <c r="D228" s="43">
        <f t="shared" ref="D228:P228" si="55">SUM(D220:D227)</f>
        <v>20947</v>
      </c>
      <c r="E228" s="43">
        <f t="shared" si="55"/>
        <v>19327</v>
      </c>
      <c r="F228" s="43">
        <f t="shared" si="55"/>
        <v>23630</v>
      </c>
      <c r="G228" s="43">
        <f t="shared" si="55"/>
        <v>26015</v>
      </c>
      <c r="H228" s="43">
        <f t="shared" si="55"/>
        <v>27736</v>
      </c>
      <c r="I228" s="43">
        <f t="shared" si="55"/>
        <v>23563</v>
      </c>
      <c r="J228" s="43">
        <f t="shared" si="55"/>
        <v>21000</v>
      </c>
      <c r="K228" s="43">
        <f t="shared" si="55"/>
        <v>20012</v>
      </c>
      <c r="L228" s="43">
        <f t="shared" si="55"/>
        <v>17949</v>
      </c>
      <c r="M228" s="43">
        <f t="shared" si="55"/>
        <v>28041</v>
      </c>
      <c r="N228" s="43">
        <f t="shared" si="55"/>
        <v>24757</v>
      </c>
      <c r="O228" s="43">
        <f t="shared" si="55"/>
        <v>26265</v>
      </c>
      <c r="P228" s="44">
        <f t="shared" si="55"/>
        <v>279242</v>
      </c>
      <c r="Q228"/>
    </row>
    <row r="229" spans="1:17" ht="12.75" hidden="1" customHeight="1" x14ac:dyDescent="0.25">
      <c r="A229"/>
      <c r="B229" s="441" t="s">
        <v>45</v>
      </c>
      <c r="C229" s="175" t="s">
        <v>139</v>
      </c>
      <c r="D229" s="39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1753</v>
      </c>
      <c r="K229" s="40">
        <v>3701</v>
      </c>
      <c r="L229" s="40">
        <v>3690</v>
      </c>
      <c r="M229" s="40">
        <v>2645</v>
      </c>
      <c r="N229" s="40">
        <v>1977</v>
      </c>
      <c r="O229" s="40">
        <v>3101</v>
      </c>
      <c r="P229" s="41">
        <f t="shared" ref="P229:P234" si="56">SUM(D229:O229)</f>
        <v>16867</v>
      </c>
      <c r="Q229"/>
    </row>
    <row r="230" spans="1:17" ht="12.75" hidden="1" customHeight="1" x14ac:dyDescent="0.25">
      <c r="A230"/>
      <c r="B230" s="441"/>
      <c r="C230" s="182" t="s">
        <v>114</v>
      </c>
      <c r="D230" s="25">
        <v>2310</v>
      </c>
      <c r="E230" s="26">
        <v>1955</v>
      </c>
      <c r="F230" s="26">
        <v>4529</v>
      </c>
      <c r="G230" s="26">
        <v>4730</v>
      </c>
      <c r="H230" s="26">
        <v>4328</v>
      </c>
      <c r="I230" s="26">
        <v>3634</v>
      </c>
      <c r="J230" s="26">
        <v>3187</v>
      </c>
      <c r="K230" s="26">
        <v>2474</v>
      </c>
      <c r="L230" s="26">
        <v>3636</v>
      </c>
      <c r="M230" s="26">
        <v>4421</v>
      </c>
      <c r="N230" s="26">
        <v>3720</v>
      </c>
      <c r="O230" s="26">
        <v>3725</v>
      </c>
      <c r="P230" s="27">
        <f t="shared" si="56"/>
        <v>42649</v>
      </c>
      <c r="Q230"/>
    </row>
    <row r="231" spans="1:17" ht="12.75" hidden="1" customHeight="1" x14ac:dyDescent="0.25">
      <c r="A231"/>
      <c r="B231" s="441"/>
      <c r="C231" s="182" t="s">
        <v>60</v>
      </c>
      <c r="D231" s="25">
        <v>3651</v>
      </c>
      <c r="E231" s="26">
        <v>2638</v>
      </c>
      <c r="F231" s="26">
        <v>3693</v>
      </c>
      <c r="G231" s="26">
        <v>3860</v>
      </c>
      <c r="H231" s="26">
        <v>3264</v>
      </c>
      <c r="I231" s="26">
        <v>2976</v>
      </c>
      <c r="J231" s="26">
        <v>3183</v>
      </c>
      <c r="K231" s="26">
        <v>2583</v>
      </c>
      <c r="L231" s="26">
        <v>1620</v>
      </c>
      <c r="M231" s="26">
        <v>2474</v>
      </c>
      <c r="N231" s="26">
        <v>3279</v>
      </c>
      <c r="O231" s="26">
        <v>3537</v>
      </c>
      <c r="P231" s="27">
        <f t="shared" si="56"/>
        <v>36758</v>
      </c>
      <c r="Q231"/>
    </row>
    <row r="232" spans="1:17" ht="12.75" hidden="1" customHeight="1" x14ac:dyDescent="0.25">
      <c r="A232"/>
      <c r="B232" s="441"/>
      <c r="C232" s="182" t="s">
        <v>125</v>
      </c>
      <c r="D232" s="25">
        <v>21</v>
      </c>
      <c r="E232" s="26">
        <v>72</v>
      </c>
      <c r="F232" s="26">
        <v>151</v>
      </c>
      <c r="G232" s="26">
        <v>363</v>
      </c>
      <c r="H232" s="26">
        <v>461</v>
      </c>
      <c r="I232" s="26">
        <v>478</v>
      </c>
      <c r="J232" s="26">
        <v>352</v>
      </c>
      <c r="K232" s="26">
        <v>247</v>
      </c>
      <c r="L232" s="26">
        <v>454</v>
      </c>
      <c r="M232" s="26">
        <v>608</v>
      </c>
      <c r="N232" s="26">
        <v>699</v>
      </c>
      <c r="O232" s="26">
        <v>288</v>
      </c>
      <c r="P232" s="198">
        <f t="shared" si="56"/>
        <v>4194</v>
      </c>
      <c r="Q232"/>
    </row>
    <row r="233" spans="1:17" ht="12.75" hidden="1" customHeight="1" x14ac:dyDescent="0.25">
      <c r="A233"/>
      <c r="B233" s="441"/>
      <c r="C233" s="177" t="s">
        <v>8</v>
      </c>
      <c r="D233" s="29">
        <v>7001</v>
      </c>
      <c r="E233" s="30">
        <v>7023</v>
      </c>
      <c r="F233" s="30">
        <v>8231</v>
      </c>
      <c r="G233" s="30">
        <v>6759</v>
      </c>
      <c r="H233" s="30">
        <v>6882</v>
      </c>
      <c r="I233" s="30">
        <v>8192</v>
      </c>
      <c r="J233" s="30">
        <v>7393</v>
      </c>
      <c r="K233" s="30">
        <v>6858</v>
      </c>
      <c r="L233" s="30">
        <v>7813</v>
      </c>
      <c r="M233" s="30">
        <v>6676</v>
      </c>
      <c r="N233" s="30">
        <v>7001</v>
      </c>
      <c r="O233" s="30">
        <v>6369</v>
      </c>
      <c r="P233" s="78">
        <f t="shared" si="56"/>
        <v>86198</v>
      </c>
      <c r="Q233"/>
    </row>
    <row r="234" spans="1:17" ht="12.75" hidden="1" customHeight="1" x14ac:dyDescent="0.25">
      <c r="A234"/>
      <c r="B234" s="441"/>
      <c r="C234" s="177" t="s">
        <v>134</v>
      </c>
      <c r="D234" s="29">
        <v>5903</v>
      </c>
      <c r="E234" s="30">
        <v>5769</v>
      </c>
      <c r="F234" s="30">
        <v>6377</v>
      </c>
      <c r="G234" s="30">
        <v>6583</v>
      </c>
      <c r="H234" s="30">
        <v>3743</v>
      </c>
      <c r="I234" s="30">
        <v>3127</v>
      </c>
      <c r="J234" s="30">
        <v>3660</v>
      </c>
      <c r="K234" s="30">
        <v>2304</v>
      </c>
      <c r="L234" s="30">
        <v>2241</v>
      </c>
      <c r="M234" s="30">
        <v>3087</v>
      </c>
      <c r="N234" s="30">
        <v>4137</v>
      </c>
      <c r="O234" s="30">
        <v>5368</v>
      </c>
      <c r="P234" s="31">
        <f t="shared" si="56"/>
        <v>52299</v>
      </c>
      <c r="Q234"/>
    </row>
    <row r="235" spans="1:17" ht="12.75" hidden="1" customHeight="1" thickBot="1" x14ac:dyDescent="0.3">
      <c r="A235"/>
      <c r="B235" s="444"/>
      <c r="C235" s="183" t="s">
        <v>0</v>
      </c>
      <c r="D235" s="36">
        <f t="shared" ref="D235:P235" si="57">SUM(D229:D234)</f>
        <v>18886</v>
      </c>
      <c r="E235" s="36">
        <f t="shared" si="57"/>
        <v>17457</v>
      </c>
      <c r="F235" s="36">
        <f t="shared" si="57"/>
        <v>22981</v>
      </c>
      <c r="G235" s="36">
        <f t="shared" si="57"/>
        <v>22295</v>
      </c>
      <c r="H235" s="36">
        <f t="shared" si="57"/>
        <v>18678</v>
      </c>
      <c r="I235" s="36">
        <f t="shared" si="57"/>
        <v>18407</v>
      </c>
      <c r="J235" s="36">
        <f t="shared" si="57"/>
        <v>19528</v>
      </c>
      <c r="K235" s="36">
        <f t="shared" si="57"/>
        <v>18167</v>
      </c>
      <c r="L235" s="36">
        <f t="shared" si="57"/>
        <v>19454</v>
      </c>
      <c r="M235" s="36">
        <f t="shared" si="57"/>
        <v>19911</v>
      </c>
      <c r="N235" s="36">
        <f t="shared" si="57"/>
        <v>20813</v>
      </c>
      <c r="O235" s="36">
        <f t="shared" si="57"/>
        <v>22388</v>
      </c>
      <c r="P235" s="37">
        <f t="shared" si="57"/>
        <v>238965</v>
      </c>
      <c r="Q235"/>
    </row>
    <row r="236" spans="1:17" ht="12.75" hidden="1" customHeight="1" x14ac:dyDescent="0.25">
      <c r="A236"/>
      <c r="B236" s="430" t="s">
        <v>9</v>
      </c>
      <c r="C236" s="175" t="s">
        <v>11</v>
      </c>
      <c r="D236" s="39">
        <v>4179</v>
      </c>
      <c r="E236" s="40">
        <v>3581</v>
      </c>
      <c r="F236" s="40">
        <v>4937</v>
      </c>
      <c r="G236" s="40">
        <v>4303</v>
      </c>
      <c r="H236" s="40">
        <v>3667</v>
      </c>
      <c r="I236" s="40">
        <v>3033</v>
      </c>
      <c r="J236" s="40">
        <v>3054</v>
      </c>
      <c r="K236" s="40">
        <v>1463</v>
      </c>
      <c r="L236" s="40">
        <v>2163</v>
      </c>
      <c r="M236" s="40">
        <v>3734</v>
      </c>
      <c r="N236" s="40">
        <v>3344</v>
      </c>
      <c r="O236" s="40">
        <v>3409</v>
      </c>
      <c r="P236" s="41">
        <f>SUM(D236:O236)</f>
        <v>40867</v>
      </c>
      <c r="Q236"/>
    </row>
    <row r="237" spans="1:17" ht="12.75" hidden="1" customHeight="1" x14ac:dyDescent="0.25">
      <c r="A237"/>
      <c r="B237" s="431"/>
      <c r="C237" s="182" t="s">
        <v>12</v>
      </c>
      <c r="D237" s="25">
        <v>8951</v>
      </c>
      <c r="E237" s="26">
        <v>6797</v>
      </c>
      <c r="F237" s="26">
        <v>9412</v>
      </c>
      <c r="G237" s="26">
        <v>9502</v>
      </c>
      <c r="H237" s="26">
        <v>9254</v>
      </c>
      <c r="I237" s="26">
        <v>9180</v>
      </c>
      <c r="J237" s="26">
        <v>10355</v>
      </c>
      <c r="K237" s="26">
        <v>6971</v>
      </c>
      <c r="L237" s="26">
        <v>5094</v>
      </c>
      <c r="M237" s="26">
        <v>7041</v>
      </c>
      <c r="N237" s="26">
        <v>8402</v>
      </c>
      <c r="O237" s="26">
        <f>7442+124</f>
        <v>7566</v>
      </c>
      <c r="P237" s="27">
        <f>SUM(D237:O237)</f>
        <v>98525</v>
      </c>
      <c r="Q237"/>
    </row>
    <row r="238" spans="1:17" ht="12.75" hidden="1" customHeight="1" thickBot="1" x14ac:dyDescent="0.3">
      <c r="A238"/>
      <c r="B238" s="432"/>
      <c r="C238" s="181" t="s">
        <v>0</v>
      </c>
      <c r="D238" s="43">
        <f t="shared" ref="D238:L238" si="58">SUM(D236:D237)</f>
        <v>13130</v>
      </c>
      <c r="E238" s="43">
        <f t="shared" si="58"/>
        <v>10378</v>
      </c>
      <c r="F238" s="43">
        <f t="shared" si="58"/>
        <v>14349</v>
      </c>
      <c r="G238" s="43">
        <f t="shared" si="58"/>
        <v>13805</v>
      </c>
      <c r="H238" s="43">
        <f t="shared" si="58"/>
        <v>12921</v>
      </c>
      <c r="I238" s="43">
        <f t="shared" si="58"/>
        <v>12213</v>
      </c>
      <c r="J238" s="43">
        <f t="shared" si="58"/>
        <v>13409</v>
      </c>
      <c r="K238" s="43">
        <f t="shared" si="58"/>
        <v>8434</v>
      </c>
      <c r="L238" s="43">
        <f t="shared" si="58"/>
        <v>7257</v>
      </c>
      <c r="M238" s="43">
        <f>SUM(M236:M237)</f>
        <v>10775</v>
      </c>
      <c r="N238" s="43">
        <f>SUM(N236:N237)</f>
        <v>11746</v>
      </c>
      <c r="O238" s="43">
        <f>SUM(O236:O237)</f>
        <v>10975</v>
      </c>
      <c r="P238" s="44">
        <f>SUM(P236:P237)</f>
        <v>139392</v>
      </c>
      <c r="Q238"/>
    </row>
    <row r="239" spans="1:17" ht="12.75" hidden="1" customHeight="1" x14ac:dyDescent="0.25">
      <c r="A239"/>
      <c r="B239" s="430" t="s">
        <v>10</v>
      </c>
      <c r="C239" s="175" t="s">
        <v>13</v>
      </c>
      <c r="D239" s="39">
        <v>634</v>
      </c>
      <c r="E239" s="40">
        <v>652</v>
      </c>
      <c r="F239" s="40">
        <v>878</v>
      </c>
      <c r="G239" s="40">
        <v>917</v>
      </c>
      <c r="H239" s="40">
        <v>838</v>
      </c>
      <c r="I239" s="40">
        <v>689</v>
      </c>
      <c r="J239" s="40">
        <v>702</v>
      </c>
      <c r="K239" s="40">
        <v>522</v>
      </c>
      <c r="L239" s="40">
        <v>656</v>
      </c>
      <c r="M239" s="40">
        <v>761</v>
      </c>
      <c r="N239" s="40">
        <v>667</v>
      </c>
      <c r="O239" s="40">
        <v>743</v>
      </c>
      <c r="P239" s="41">
        <f>SUM(D239:O239)</f>
        <v>8659</v>
      </c>
      <c r="Q239"/>
    </row>
    <row r="240" spans="1:17" ht="12.75" hidden="1" customHeight="1" x14ac:dyDescent="0.25">
      <c r="A240"/>
      <c r="B240" s="431"/>
      <c r="C240" s="182" t="s">
        <v>14</v>
      </c>
      <c r="D240" s="25">
        <v>1569</v>
      </c>
      <c r="E240" s="26">
        <v>1449</v>
      </c>
      <c r="F240" s="26">
        <v>1947</v>
      </c>
      <c r="G240" s="26">
        <v>1983</v>
      </c>
      <c r="H240" s="26">
        <v>1862</v>
      </c>
      <c r="I240" s="26">
        <v>1714</v>
      </c>
      <c r="J240" s="26">
        <v>1498</v>
      </c>
      <c r="K240" s="26">
        <v>1181</v>
      </c>
      <c r="L240" s="26">
        <v>1244</v>
      </c>
      <c r="M240" s="26">
        <v>1539</v>
      </c>
      <c r="N240" s="26">
        <v>1538</v>
      </c>
      <c r="O240" s="26">
        <v>1259</v>
      </c>
      <c r="P240" s="27">
        <f>SUM(D240:O240)</f>
        <v>18783</v>
      </c>
      <c r="Q240"/>
    </row>
    <row r="241" spans="1:17" ht="12.75" hidden="1" customHeight="1" thickBot="1" x14ac:dyDescent="0.3">
      <c r="A241"/>
      <c r="B241" s="432"/>
      <c r="C241" s="181" t="s">
        <v>0</v>
      </c>
      <c r="D241" s="43">
        <f t="shared" ref="D241:P241" si="59">SUM(D239:D240)</f>
        <v>2203</v>
      </c>
      <c r="E241" s="43">
        <f t="shared" si="59"/>
        <v>2101</v>
      </c>
      <c r="F241" s="43">
        <f t="shared" si="59"/>
        <v>2825</v>
      </c>
      <c r="G241" s="43">
        <f t="shared" si="59"/>
        <v>2900</v>
      </c>
      <c r="H241" s="43">
        <f t="shared" si="59"/>
        <v>2700</v>
      </c>
      <c r="I241" s="43">
        <f t="shared" si="59"/>
        <v>2403</v>
      </c>
      <c r="J241" s="43">
        <f t="shared" si="59"/>
        <v>2200</v>
      </c>
      <c r="K241" s="43">
        <f t="shared" si="59"/>
        <v>1703</v>
      </c>
      <c r="L241" s="43">
        <f t="shared" si="59"/>
        <v>1900</v>
      </c>
      <c r="M241" s="43">
        <f t="shared" si="59"/>
        <v>2300</v>
      </c>
      <c r="N241" s="43">
        <f t="shared" si="59"/>
        <v>2205</v>
      </c>
      <c r="O241" s="43">
        <f t="shared" si="59"/>
        <v>2002</v>
      </c>
      <c r="P241" s="44">
        <f t="shared" si="59"/>
        <v>27442</v>
      </c>
      <c r="Q241"/>
    </row>
    <row r="242" spans="1:17" ht="4.5" hidden="1" customHeight="1" x14ac:dyDescent="0.25">
      <c r="A242"/>
      <c r="B242" s="449" t="s">
        <v>4</v>
      </c>
      <c r="C242" s="184" t="s">
        <v>116</v>
      </c>
      <c r="D242" s="156">
        <v>1408</v>
      </c>
      <c r="E242" s="156">
        <v>1310</v>
      </c>
      <c r="F242" s="156">
        <v>1757</v>
      </c>
      <c r="G242" s="156">
        <v>1662</v>
      </c>
      <c r="H242" s="156">
        <v>1557</v>
      </c>
      <c r="I242" s="156">
        <v>1382</v>
      </c>
      <c r="J242" s="156">
        <v>1270</v>
      </c>
      <c r="K242" s="156">
        <v>1471</v>
      </c>
      <c r="L242" s="156">
        <v>1150</v>
      </c>
      <c r="M242" s="156">
        <v>1164</v>
      </c>
      <c r="N242" s="156">
        <v>1339</v>
      </c>
      <c r="O242" s="156">
        <v>1505</v>
      </c>
      <c r="P242" s="157">
        <f>SUM(D242:O242)</f>
        <v>16975</v>
      </c>
      <c r="Q242"/>
    </row>
    <row r="243" spans="1:17" hidden="1" x14ac:dyDescent="0.25">
      <c r="A243"/>
      <c r="B243" s="450"/>
      <c r="C243" s="185" t="s">
        <v>118</v>
      </c>
      <c r="D243" s="132">
        <v>2479</v>
      </c>
      <c r="E243" s="132">
        <v>1873</v>
      </c>
      <c r="F243" s="132">
        <v>2195</v>
      </c>
      <c r="G243" s="132">
        <v>1930</v>
      </c>
      <c r="H243" s="132">
        <v>1958</v>
      </c>
      <c r="I243" s="132">
        <v>1853</v>
      </c>
      <c r="J243" s="132">
        <v>1726</v>
      </c>
      <c r="K243" s="132">
        <v>2071</v>
      </c>
      <c r="L243" s="132">
        <v>1496</v>
      </c>
      <c r="M243" s="132">
        <v>1786</v>
      </c>
      <c r="N243" s="132">
        <v>1214</v>
      </c>
      <c r="O243" s="132">
        <v>1703</v>
      </c>
      <c r="P243" s="133">
        <f>SUM(D243:O243)</f>
        <v>22284</v>
      </c>
    </row>
    <row r="244" spans="1:17" ht="9.75" hidden="1" customHeight="1" x14ac:dyDescent="0.25">
      <c r="A244"/>
      <c r="B244" s="450"/>
      <c r="C244" s="177" t="s">
        <v>130</v>
      </c>
      <c r="D244" s="29">
        <v>1387</v>
      </c>
      <c r="E244" s="30">
        <v>960</v>
      </c>
      <c r="F244" s="30">
        <v>2374</v>
      </c>
      <c r="G244" s="30">
        <v>2806</v>
      </c>
      <c r="H244" s="30">
        <v>2206</v>
      </c>
      <c r="I244" s="30">
        <v>1166</v>
      </c>
      <c r="J244" s="30">
        <v>1153</v>
      </c>
      <c r="K244" s="30">
        <v>1039</v>
      </c>
      <c r="L244" s="30">
        <v>933</v>
      </c>
      <c r="M244" s="30">
        <v>935</v>
      </c>
      <c r="N244" s="30">
        <v>1086</v>
      </c>
      <c r="O244" s="30">
        <v>1497</v>
      </c>
      <c r="P244" s="31">
        <f>SUM(D244:O244)</f>
        <v>17542</v>
      </c>
    </row>
    <row r="245" spans="1:17" ht="9.75" hidden="1" customHeight="1" thickBot="1" x14ac:dyDescent="0.3">
      <c r="A245"/>
      <c r="B245" s="451"/>
      <c r="C245" s="42" t="s">
        <v>0</v>
      </c>
      <c r="D245" s="43">
        <f>SUM(D242:D244)</f>
        <v>5274</v>
      </c>
      <c r="E245" s="43">
        <f t="shared" ref="E245:P245" si="60">SUM(E242:E244)</f>
        <v>4143</v>
      </c>
      <c r="F245" s="43">
        <f t="shared" si="60"/>
        <v>6326</v>
      </c>
      <c r="G245" s="43">
        <f t="shared" si="60"/>
        <v>6398</v>
      </c>
      <c r="H245" s="43">
        <f t="shared" si="60"/>
        <v>5721</v>
      </c>
      <c r="I245" s="43">
        <f t="shared" si="60"/>
        <v>4401</v>
      </c>
      <c r="J245" s="43">
        <f t="shared" si="60"/>
        <v>4149</v>
      </c>
      <c r="K245" s="43">
        <f t="shared" si="60"/>
        <v>4581</v>
      </c>
      <c r="L245" s="43">
        <f t="shared" si="60"/>
        <v>3579</v>
      </c>
      <c r="M245" s="43">
        <f t="shared" si="60"/>
        <v>3885</v>
      </c>
      <c r="N245" s="43">
        <f t="shared" si="60"/>
        <v>3639</v>
      </c>
      <c r="O245" s="43">
        <f t="shared" si="60"/>
        <v>4705</v>
      </c>
      <c r="P245" s="43">
        <f t="shared" si="60"/>
        <v>56801</v>
      </c>
    </row>
    <row r="246" spans="1:17" ht="4.5" hidden="1" customHeight="1" thickBot="1" x14ac:dyDescent="0.3">
      <c r="A246"/>
      <c r="B246" s="435" t="s">
        <v>2</v>
      </c>
      <c r="C246" s="436"/>
      <c r="D246" s="45">
        <f t="shared" ref="D246:O246" si="61">D228+D235+D241+D238+D245</f>
        <v>60440</v>
      </c>
      <c r="E246" s="45">
        <f t="shared" si="61"/>
        <v>53406</v>
      </c>
      <c r="F246" s="45">
        <f t="shared" si="61"/>
        <v>70111</v>
      </c>
      <c r="G246" s="45">
        <f t="shared" si="61"/>
        <v>71413</v>
      </c>
      <c r="H246" s="45">
        <f t="shared" si="61"/>
        <v>67756</v>
      </c>
      <c r="I246" s="45">
        <f t="shared" si="61"/>
        <v>60987</v>
      </c>
      <c r="J246" s="45">
        <f t="shared" si="61"/>
        <v>60286</v>
      </c>
      <c r="K246" s="45">
        <f t="shared" si="61"/>
        <v>52897</v>
      </c>
      <c r="L246" s="45">
        <f t="shared" si="61"/>
        <v>50139</v>
      </c>
      <c r="M246" s="45">
        <f t="shared" si="61"/>
        <v>64912</v>
      </c>
      <c r="N246" s="45">
        <f t="shared" si="61"/>
        <v>63160</v>
      </c>
      <c r="O246" s="45">
        <f t="shared" si="61"/>
        <v>66335</v>
      </c>
      <c r="P246" s="45">
        <f>SUM(P228,P235,P245,P238,P241)</f>
        <v>741842</v>
      </c>
      <c r="Q246"/>
    </row>
    <row r="247" spans="1:17" hidden="1" x14ac:dyDescent="0.25">
      <c r="A247"/>
      <c r="J247" s="116"/>
    </row>
    <row r="248" spans="1:17" ht="9.9" hidden="1" customHeight="1" x14ac:dyDescent="0.25">
      <c r="A248"/>
      <c r="B248" s="82" t="s">
        <v>69</v>
      </c>
      <c r="C248" s="83"/>
      <c r="D248" s="84">
        <f t="shared" ref="D248:P248" si="62">SUM(D249:D250)</f>
        <v>136</v>
      </c>
      <c r="E248" s="84">
        <f t="shared" si="62"/>
        <v>283</v>
      </c>
      <c r="F248" s="84">
        <f t="shared" si="62"/>
        <v>623</v>
      </c>
      <c r="G248" s="84">
        <f t="shared" si="62"/>
        <v>498</v>
      </c>
      <c r="H248" s="84">
        <f t="shared" si="62"/>
        <v>423</v>
      </c>
      <c r="I248" s="84">
        <f t="shared" si="62"/>
        <v>713</v>
      </c>
      <c r="J248" s="84">
        <f t="shared" si="62"/>
        <v>705</v>
      </c>
      <c r="K248" s="84">
        <f t="shared" si="62"/>
        <v>679</v>
      </c>
      <c r="L248" s="84">
        <f t="shared" si="62"/>
        <v>624</v>
      </c>
      <c r="M248" s="84">
        <f t="shared" si="62"/>
        <v>457</v>
      </c>
      <c r="N248" s="84">
        <f t="shared" si="62"/>
        <v>352</v>
      </c>
      <c r="O248" s="84">
        <f t="shared" si="62"/>
        <v>534</v>
      </c>
      <c r="P248" s="85">
        <f t="shared" si="62"/>
        <v>6027</v>
      </c>
    </row>
    <row r="249" spans="1:17" ht="9.9" hidden="1" customHeight="1" x14ac:dyDescent="0.25">
      <c r="A249"/>
      <c r="B249" s="86"/>
      <c r="C249" s="87" t="s">
        <v>144</v>
      </c>
      <c r="D249" s="100">
        <v>21</v>
      </c>
      <c r="E249" s="100">
        <v>62</v>
      </c>
      <c r="F249" s="88">
        <v>288</v>
      </c>
      <c r="G249" s="101">
        <v>133</v>
      </c>
      <c r="H249" s="88">
        <v>135</v>
      </c>
      <c r="I249" s="98">
        <v>244</v>
      </c>
      <c r="J249" s="98">
        <v>236</v>
      </c>
      <c r="K249" s="88">
        <v>380</v>
      </c>
      <c r="L249" s="88">
        <v>154</v>
      </c>
      <c r="M249" s="88">
        <v>112</v>
      </c>
      <c r="N249" s="88">
        <v>93</v>
      </c>
      <c r="O249" s="88">
        <v>202</v>
      </c>
      <c r="P249" s="89">
        <f>SUM(D249:O249)</f>
        <v>2060</v>
      </c>
    </row>
    <row r="250" spans="1:17" ht="9.9" hidden="1" customHeight="1" x14ac:dyDescent="0.25">
      <c r="A250"/>
      <c r="B250" s="90"/>
      <c r="C250" s="87" t="s">
        <v>143</v>
      </c>
      <c r="D250" s="100">
        <v>115</v>
      </c>
      <c r="E250" s="100">
        <v>221</v>
      </c>
      <c r="F250" s="88">
        <v>335</v>
      </c>
      <c r="G250" s="101">
        <v>365</v>
      </c>
      <c r="H250" s="88">
        <v>288</v>
      </c>
      <c r="I250" s="98">
        <v>469</v>
      </c>
      <c r="J250" s="99">
        <v>469</v>
      </c>
      <c r="K250" s="91">
        <v>299</v>
      </c>
      <c r="L250" s="91">
        <v>470</v>
      </c>
      <c r="M250" s="91">
        <v>345</v>
      </c>
      <c r="N250" s="91">
        <v>259</v>
      </c>
      <c r="O250" s="91">
        <v>332</v>
      </c>
      <c r="P250" s="89">
        <f>SUM(D250:O250)</f>
        <v>3967</v>
      </c>
    </row>
    <row r="251" spans="1:17" ht="9.9" hidden="1" customHeight="1" x14ac:dyDescent="0.25">
      <c r="A251"/>
      <c r="J251" s="116"/>
    </row>
    <row r="252" spans="1:17" ht="6" hidden="1" customHeight="1" x14ac:dyDescent="0.25">
      <c r="A252"/>
      <c r="B252" s="93" t="s">
        <v>25</v>
      </c>
      <c r="C252" s="94"/>
      <c r="D252" s="84">
        <f>D253+D254+D256+D255</f>
        <v>4541</v>
      </c>
      <c r="E252" s="84">
        <f t="shared" ref="E252:P252" si="63">E253+E254+E256+E255</f>
        <v>5680</v>
      </c>
      <c r="F252" s="84">
        <f t="shared" si="63"/>
        <v>6036</v>
      </c>
      <c r="G252" s="84">
        <f t="shared" si="63"/>
        <v>8836</v>
      </c>
      <c r="H252" s="84">
        <f t="shared" si="63"/>
        <v>13376</v>
      </c>
      <c r="I252" s="84">
        <f t="shared" si="63"/>
        <v>9822</v>
      </c>
      <c r="J252" s="84">
        <f t="shared" si="63"/>
        <v>8071</v>
      </c>
      <c r="K252" s="84">
        <f t="shared" si="63"/>
        <v>8393</v>
      </c>
      <c r="L252" s="84">
        <f t="shared" si="63"/>
        <v>7156</v>
      </c>
      <c r="M252" s="84">
        <f t="shared" si="63"/>
        <v>10688</v>
      </c>
      <c r="N252" s="84">
        <f t="shared" si="63"/>
        <v>8832</v>
      </c>
      <c r="O252" s="84">
        <f t="shared" si="63"/>
        <v>8572</v>
      </c>
      <c r="P252" s="84">
        <f t="shared" si="63"/>
        <v>100003</v>
      </c>
    </row>
    <row r="253" spans="1:17" hidden="1" x14ac:dyDescent="0.25">
      <c r="A253"/>
      <c r="B253" s="86"/>
      <c r="C253" s="87" t="s">
        <v>53</v>
      </c>
      <c r="D253" s="123">
        <v>4271</v>
      </c>
      <c r="E253" s="123">
        <v>5363</v>
      </c>
      <c r="F253" s="123">
        <v>5660</v>
      </c>
      <c r="G253" s="88">
        <v>2529</v>
      </c>
      <c r="H253" s="88">
        <v>2026</v>
      </c>
      <c r="I253" s="88">
        <v>1865</v>
      </c>
      <c r="J253" s="88">
        <v>1737</v>
      </c>
      <c r="K253" s="88">
        <v>1861</v>
      </c>
      <c r="L253" s="88">
        <v>1799</v>
      </c>
      <c r="M253" s="88">
        <v>2444</v>
      </c>
      <c r="N253" s="88">
        <v>2081</v>
      </c>
      <c r="O253" s="88">
        <v>1895</v>
      </c>
      <c r="P253" s="89">
        <f>SUM(D253:O253)</f>
        <v>33531</v>
      </c>
    </row>
    <row r="254" spans="1:17" ht="9.75" hidden="1" customHeight="1" x14ac:dyDescent="0.25">
      <c r="A254"/>
      <c r="B254" s="86"/>
      <c r="C254" s="129" t="s">
        <v>142</v>
      </c>
      <c r="D254" s="123">
        <v>270</v>
      </c>
      <c r="E254" s="123">
        <v>317</v>
      </c>
      <c r="F254" s="123">
        <v>265</v>
      </c>
      <c r="G254" s="123">
        <v>179</v>
      </c>
      <c r="H254" s="123">
        <v>126</v>
      </c>
      <c r="I254" s="123">
        <v>70</v>
      </c>
      <c r="J254" s="123">
        <v>1</v>
      </c>
      <c r="K254" s="123">
        <v>0</v>
      </c>
      <c r="L254" s="123">
        <v>0</v>
      </c>
      <c r="M254" s="123">
        <v>0</v>
      </c>
      <c r="N254" s="123">
        <v>0</v>
      </c>
      <c r="O254" s="91">
        <v>0</v>
      </c>
      <c r="P254" s="89">
        <f>SUM(D254:O254)</f>
        <v>1228</v>
      </c>
    </row>
    <row r="255" spans="1:17" ht="9.75" hidden="1" customHeight="1" x14ac:dyDescent="0.25">
      <c r="A255"/>
      <c r="B255" s="86"/>
      <c r="C255" s="87" t="s">
        <v>137</v>
      </c>
      <c r="D255" s="88">
        <v>0</v>
      </c>
      <c r="E255" s="88">
        <v>0</v>
      </c>
      <c r="F255" s="88">
        <v>111</v>
      </c>
      <c r="G255" s="88">
        <v>6128</v>
      </c>
      <c r="H255" s="88">
        <v>11224</v>
      </c>
      <c r="I255" s="88">
        <v>7887</v>
      </c>
      <c r="J255" s="88">
        <v>6333</v>
      </c>
      <c r="K255" s="88">
        <v>5547</v>
      </c>
      <c r="L255" s="88">
        <v>4045</v>
      </c>
      <c r="M255" s="88">
        <v>6531</v>
      </c>
      <c r="N255" s="88">
        <v>5548</v>
      </c>
      <c r="O255" s="88">
        <v>5452</v>
      </c>
      <c r="P255" s="89">
        <f>SUM(D255:O255)</f>
        <v>58806</v>
      </c>
    </row>
    <row r="256" spans="1:17" ht="6" hidden="1" customHeight="1" x14ac:dyDescent="0.25">
      <c r="A256"/>
      <c r="B256" s="90"/>
      <c r="C256" s="87" t="s">
        <v>140</v>
      </c>
      <c r="D256" s="88">
        <v>0</v>
      </c>
      <c r="E256" s="88">
        <v>0</v>
      </c>
      <c r="F256" s="88">
        <v>0</v>
      </c>
      <c r="G256" s="88">
        <v>0</v>
      </c>
      <c r="H256" s="88">
        <v>0</v>
      </c>
      <c r="I256" s="88">
        <v>0</v>
      </c>
      <c r="J256" s="88">
        <v>0</v>
      </c>
      <c r="K256" s="88">
        <v>985</v>
      </c>
      <c r="L256" s="88">
        <v>1312</v>
      </c>
      <c r="M256" s="88">
        <v>1713</v>
      </c>
      <c r="N256" s="88">
        <v>1203</v>
      </c>
      <c r="O256" s="88">
        <v>1225</v>
      </c>
      <c r="P256" s="89">
        <f>SUM(D256:O256)</f>
        <v>6438</v>
      </c>
    </row>
    <row r="257" spans="1:17" ht="9.9" hidden="1" customHeight="1" x14ac:dyDescent="0.25">
      <c r="A257"/>
      <c r="B257" s="102"/>
      <c r="C257" s="95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7"/>
    </row>
    <row r="258" spans="1:17" ht="9.9" hidden="1" customHeight="1" x14ac:dyDescent="0.25">
      <c r="A258"/>
      <c r="B258" s="82" t="s">
        <v>27</v>
      </c>
      <c r="C258" s="83"/>
      <c r="D258" s="84">
        <f t="shared" ref="D258:P258" si="64">SUM(D259:D260)</f>
        <v>10077</v>
      </c>
      <c r="E258" s="84">
        <f t="shared" si="64"/>
        <v>7720</v>
      </c>
      <c r="F258" s="84">
        <f t="shared" si="64"/>
        <v>10531</v>
      </c>
      <c r="G258" s="84">
        <f t="shared" si="64"/>
        <v>10135</v>
      </c>
      <c r="H258" s="84">
        <f t="shared" si="64"/>
        <v>8327</v>
      </c>
      <c r="I258" s="84">
        <f t="shared" si="64"/>
        <v>6652</v>
      </c>
      <c r="J258" s="84">
        <f t="shared" si="64"/>
        <v>6135</v>
      </c>
      <c r="K258" s="84">
        <f t="shared" si="64"/>
        <v>5514</v>
      </c>
      <c r="L258" s="84">
        <f t="shared" si="64"/>
        <v>4814</v>
      </c>
      <c r="M258" s="84">
        <f t="shared" si="64"/>
        <v>9867</v>
      </c>
      <c r="N258" s="84">
        <f t="shared" si="64"/>
        <v>10407</v>
      </c>
      <c r="O258" s="84">
        <f t="shared" si="64"/>
        <v>13170</v>
      </c>
      <c r="P258" s="84">
        <f t="shared" si="64"/>
        <v>103349</v>
      </c>
    </row>
    <row r="259" spans="1:17" ht="9.9" hidden="1" customHeight="1" x14ac:dyDescent="0.25">
      <c r="A259"/>
      <c r="B259" s="86"/>
      <c r="C259" s="148" t="s">
        <v>80</v>
      </c>
      <c r="D259" s="149">
        <v>7627</v>
      </c>
      <c r="E259" s="149">
        <v>5883</v>
      </c>
      <c r="F259" s="150">
        <v>7470</v>
      </c>
      <c r="G259" s="151">
        <v>6949</v>
      </c>
      <c r="H259" s="150">
        <v>5553</v>
      </c>
      <c r="I259" s="152">
        <v>3952</v>
      </c>
      <c r="J259" s="152">
        <v>3846</v>
      </c>
      <c r="K259" s="150">
        <v>4361</v>
      </c>
      <c r="L259" s="150">
        <v>3653</v>
      </c>
      <c r="M259" s="150">
        <v>6827</v>
      </c>
      <c r="N259" s="150">
        <v>8095</v>
      </c>
      <c r="O259" s="150">
        <v>9425</v>
      </c>
      <c r="P259" s="153">
        <f>SUM(D259:O259)</f>
        <v>73641</v>
      </c>
    </row>
    <row r="260" spans="1:17" ht="9.9" hidden="1" customHeight="1" x14ac:dyDescent="0.25">
      <c r="A260"/>
      <c r="B260" s="90"/>
      <c r="C260" s="87" t="s">
        <v>141</v>
      </c>
      <c r="D260" s="100">
        <v>2450</v>
      </c>
      <c r="E260" s="100">
        <v>1837</v>
      </c>
      <c r="F260" s="88">
        <v>3061</v>
      </c>
      <c r="G260" s="101">
        <v>3186</v>
      </c>
      <c r="H260" s="88">
        <v>2774</v>
      </c>
      <c r="I260" s="98">
        <v>2700</v>
      </c>
      <c r="J260" s="99">
        <v>2289</v>
      </c>
      <c r="K260" s="91">
        <v>1153</v>
      </c>
      <c r="L260" s="91">
        <v>1161</v>
      </c>
      <c r="M260" s="91">
        <v>3040</v>
      </c>
      <c r="N260" s="91">
        <v>2312</v>
      </c>
      <c r="O260" s="91">
        <v>3745</v>
      </c>
      <c r="P260" s="89">
        <f>SUM(D260:O260)</f>
        <v>29708</v>
      </c>
    </row>
    <row r="261" spans="1:17" s="197" customFormat="1" ht="6" hidden="1" customHeight="1" x14ac:dyDescent="0.25">
      <c r="A261"/>
      <c r="B261" s="102"/>
      <c r="C261" s="95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7"/>
      <c r="Q261" s="196"/>
    </row>
    <row r="262" spans="1:17" hidden="1" x14ac:dyDescent="0.25">
      <c r="A262"/>
      <c r="B262" s="82" t="s">
        <v>114</v>
      </c>
      <c r="C262" s="83"/>
      <c r="D262" s="84">
        <f t="shared" ref="D262:P262" si="65">SUM(D263:D265)</f>
        <v>2310</v>
      </c>
      <c r="E262" s="84">
        <f t="shared" si="65"/>
        <v>1955</v>
      </c>
      <c r="F262" s="84">
        <f t="shared" si="65"/>
        <v>4529</v>
      </c>
      <c r="G262" s="84">
        <f t="shared" si="65"/>
        <v>4730</v>
      </c>
      <c r="H262" s="84">
        <f t="shared" si="65"/>
        <v>4328</v>
      </c>
      <c r="I262" s="84">
        <f t="shared" si="65"/>
        <v>3634</v>
      </c>
      <c r="J262" s="84">
        <f t="shared" si="65"/>
        <v>3187</v>
      </c>
      <c r="K262" s="84">
        <f t="shared" si="65"/>
        <v>2474</v>
      </c>
      <c r="L262" s="84">
        <f t="shared" si="65"/>
        <v>3636</v>
      </c>
      <c r="M262" s="84">
        <f t="shared" si="65"/>
        <v>4421</v>
      </c>
      <c r="N262" s="84">
        <f t="shared" si="65"/>
        <v>3720</v>
      </c>
      <c r="O262" s="84">
        <f t="shared" si="65"/>
        <v>3725</v>
      </c>
      <c r="P262" s="85">
        <f t="shared" si="65"/>
        <v>42649</v>
      </c>
    </row>
    <row r="263" spans="1:17" ht="9.9" hidden="1" customHeight="1" x14ac:dyDescent="0.25">
      <c r="A263"/>
      <c r="B263" s="86"/>
      <c r="C263" s="87" t="s">
        <v>129</v>
      </c>
      <c r="D263" s="100">
        <v>1922</v>
      </c>
      <c r="E263" s="100">
        <v>1722</v>
      </c>
      <c r="F263" s="88">
        <v>2378</v>
      </c>
      <c r="G263" s="101">
        <v>3001</v>
      </c>
      <c r="H263" s="88">
        <v>2457</v>
      </c>
      <c r="I263" s="98">
        <v>2309</v>
      </c>
      <c r="J263" s="99">
        <v>1659</v>
      </c>
      <c r="K263" s="91">
        <v>1461</v>
      </c>
      <c r="L263" s="91">
        <v>1978</v>
      </c>
      <c r="M263" s="91">
        <v>2741</v>
      </c>
      <c r="N263" s="91">
        <v>2179</v>
      </c>
      <c r="O263" s="91">
        <v>2084</v>
      </c>
      <c r="P263" s="89">
        <f>SUM(D263:O263)</f>
        <v>25891</v>
      </c>
    </row>
    <row r="264" spans="1:17" ht="9.9" hidden="1" customHeight="1" x14ac:dyDescent="0.25">
      <c r="B264" s="86"/>
      <c r="C264" s="87" t="s">
        <v>145</v>
      </c>
      <c r="D264" s="100">
        <v>388</v>
      </c>
      <c r="E264" s="100">
        <v>233</v>
      </c>
      <c r="F264" s="88">
        <v>2151</v>
      </c>
      <c r="G264" s="101">
        <v>1729</v>
      </c>
      <c r="H264" s="88">
        <v>1871</v>
      </c>
      <c r="I264" s="98">
        <v>1325</v>
      </c>
      <c r="J264" s="98">
        <v>1528</v>
      </c>
      <c r="K264" s="88">
        <v>1008</v>
      </c>
      <c r="L264" s="88">
        <v>893</v>
      </c>
      <c r="M264" s="88">
        <v>1009</v>
      </c>
      <c r="N264" s="88">
        <v>852</v>
      </c>
      <c r="O264" s="88">
        <v>600</v>
      </c>
      <c r="P264" s="89">
        <f>SUM(D264:O264)</f>
        <v>13587</v>
      </c>
    </row>
    <row r="265" spans="1:17" s="208" customFormat="1" ht="6" hidden="1" customHeight="1" x14ac:dyDescent="0.25">
      <c r="A265" s="20"/>
      <c r="B265" s="90"/>
      <c r="C265" s="87" t="s">
        <v>143</v>
      </c>
      <c r="D265" s="100">
        <v>0</v>
      </c>
      <c r="E265" s="100">
        <v>0</v>
      </c>
      <c r="F265" s="88">
        <v>0</v>
      </c>
      <c r="G265" s="101">
        <v>0</v>
      </c>
      <c r="H265" s="88">
        <v>0</v>
      </c>
      <c r="I265" s="98">
        <v>0</v>
      </c>
      <c r="J265" s="98">
        <v>0</v>
      </c>
      <c r="K265" s="88">
        <v>5</v>
      </c>
      <c r="L265" s="88">
        <v>765</v>
      </c>
      <c r="M265" s="88">
        <v>671</v>
      </c>
      <c r="N265" s="88">
        <v>689</v>
      </c>
      <c r="O265" s="88">
        <v>1041</v>
      </c>
      <c r="P265" s="89">
        <f>SUM(D265:O265)</f>
        <v>3171</v>
      </c>
      <c r="Q265" s="207"/>
    </row>
    <row r="266" spans="1:17" hidden="1" x14ac:dyDescent="0.25">
      <c r="A266" s="191"/>
      <c r="B266" s="192"/>
      <c r="C266" s="192"/>
      <c r="D266" s="193"/>
      <c r="E266" s="193"/>
      <c r="F266" s="193"/>
      <c r="G266" s="193"/>
      <c r="H266" s="193"/>
      <c r="I266" s="193"/>
      <c r="J266" s="194"/>
      <c r="K266" s="194"/>
      <c r="L266" s="194"/>
      <c r="M266" s="194"/>
      <c r="N266" s="194"/>
      <c r="O266" s="194"/>
      <c r="P266" s="195"/>
    </row>
    <row r="267" spans="1:17" ht="9.9" hidden="1" customHeight="1" x14ac:dyDescent="0.25">
      <c r="B267" s="82" t="s">
        <v>130</v>
      </c>
      <c r="C267" s="83"/>
      <c r="D267" s="84">
        <f t="shared" ref="D267:P267" si="66">SUM(D268:D269)</f>
        <v>1387</v>
      </c>
      <c r="E267" s="84">
        <f t="shared" si="66"/>
        <v>960</v>
      </c>
      <c r="F267" s="84">
        <f t="shared" si="66"/>
        <v>2374</v>
      </c>
      <c r="G267" s="84">
        <f t="shared" si="66"/>
        <v>2806</v>
      </c>
      <c r="H267" s="84">
        <f t="shared" si="66"/>
        <v>2206</v>
      </c>
      <c r="I267" s="84">
        <f t="shared" si="66"/>
        <v>1166</v>
      </c>
      <c r="J267" s="84">
        <f t="shared" si="66"/>
        <v>1153</v>
      </c>
      <c r="K267" s="84">
        <f t="shared" si="66"/>
        <v>1039</v>
      </c>
      <c r="L267" s="84">
        <f t="shared" si="66"/>
        <v>933</v>
      </c>
      <c r="M267" s="84">
        <f t="shared" si="66"/>
        <v>935</v>
      </c>
      <c r="N267" s="84">
        <f t="shared" si="66"/>
        <v>1086</v>
      </c>
      <c r="O267" s="84">
        <f t="shared" si="66"/>
        <v>1497</v>
      </c>
      <c r="P267" s="85">
        <f t="shared" si="66"/>
        <v>17542</v>
      </c>
    </row>
    <row r="268" spans="1:17" ht="9.9" hidden="1" customHeight="1" x14ac:dyDescent="0.25">
      <c r="B268" s="86"/>
      <c r="C268" s="87" t="s">
        <v>65</v>
      </c>
      <c r="D268" s="100">
        <v>39</v>
      </c>
      <c r="E268" s="100">
        <v>36</v>
      </c>
      <c r="F268" s="88">
        <v>28</v>
      </c>
      <c r="G268" s="101">
        <v>25</v>
      </c>
      <c r="H268" s="88">
        <v>2</v>
      </c>
      <c r="I268" s="98">
        <v>0</v>
      </c>
      <c r="J268" s="98">
        <v>0</v>
      </c>
      <c r="K268" s="88">
        <v>0</v>
      </c>
      <c r="L268" s="88">
        <v>0</v>
      </c>
      <c r="M268" s="88">
        <v>0</v>
      </c>
      <c r="N268" s="88">
        <v>0</v>
      </c>
      <c r="O268" s="88">
        <v>0</v>
      </c>
      <c r="P268" s="89">
        <f>SUM(D268:O268)</f>
        <v>130</v>
      </c>
    </row>
    <row r="269" spans="1:17" s="209" customFormat="1" ht="6.75" hidden="1" customHeight="1" x14ac:dyDescent="0.25">
      <c r="A269" s="20"/>
      <c r="B269" s="90"/>
      <c r="C269" s="87" t="s">
        <v>132</v>
      </c>
      <c r="D269" s="100">
        <v>1348</v>
      </c>
      <c r="E269" s="100">
        <v>924</v>
      </c>
      <c r="F269" s="100">
        <v>2346</v>
      </c>
      <c r="G269" s="100">
        <v>2781</v>
      </c>
      <c r="H269" s="100">
        <v>2204</v>
      </c>
      <c r="I269" s="100">
        <v>1166</v>
      </c>
      <c r="J269" s="100">
        <v>1153</v>
      </c>
      <c r="K269" s="100">
        <v>1039</v>
      </c>
      <c r="L269" s="100">
        <v>933</v>
      </c>
      <c r="M269" s="100">
        <v>935</v>
      </c>
      <c r="N269" s="91">
        <v>1086</v>
      </c>
      <c r="O269" s="91">
        <v>1497</v>
      </c>
      <c r="P269" s="89">
        <f>SUM(D269:O269)</f>
        <v>17412</v>
      </c>
      <c r="Q269" s="211"/>
    </row>
    <row r="270" spans="1:17" hidden="1" x14ac:dyDescent="0.25">
      <c r="A270" s="203"/>
      <c r="B270" s="102"/>
      <c r="C270" s="102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5"/>
      <c r="O270" s="205"/>
      <c r="P270" s="206"/>
    </row>
    <row r="271" spans="1:17" ht="12.75" hidden="1" customHeight="1" x14ac:dyDescent="0.25">
      <c r="B271" s="82" t="s">
        <v>146</v>
      </c>
      <c r="C271" s="83"/>
      <c r="D271" s="84">
        <f t="shared" ref="D271:P271" si="67">SUM(D272:D273)</f>
        <v>8951</v>
      </c>
      <c r="E271" s="84">
        <f t="shared" si="67"/>
        <v>6797</v>
      </c>
      <c r="F271" s="84">
        <f t="shared" si="67"/>
        <v>9412</v>
      </c>
      <c r="G271" s="84">
        <f t="shared" si="67"/>
        <v>9502</v>
      </c>
      <c r="H271" s="84">
        <f t="shared" si="67"/>
        <v>9254</v>
      </c>
      <c r="I271" s="84">
        <f t="shared" si="67"/>
        <v>9180</v>
      </c>
      <c r="J271" s="84">
        <f t="shared" si="67"/>
        <v>10355</v>
      </c>
      <c r="K271" s="84">
        <f t="shared" si="67"/>
        <v>6971</v>
      </c>
      <c r="L271" s="84">
        <f t="shared" si="67"/>
        <v>5094</v>
      </c>
      <c r="M271" s="84">
        <f t="shared" si="67"/>
        <v>7041</v>
      </c>
      <c r="N271" s="84">
        <f t="shared" si="67"/>
        <v>8402</v>
      </c>
      <c r="O271" s="84">
        <f t="shared" si="67"/>
        <v>7566</v>
      </c>
      <c r="P271" s="85">
        <f t="shared" si="67"/>
        <v>98525</v>
      </c>
    </row>
    <row r="272" spans="1:17" ht="12.75" hidden="1" customHeight="1" x14ac:dyDescent="0.25">
      <c r="B272" s="86"/>
      <c r="C272" s="87" t="s">
        <v>12</v>
      </c>
      <c r="D272" s="100">
        <v>8951</v>
      </c>
      <c r="E272" s="100">
        <v>6797</v>
      </c>
      <c r="F272" s="88">
        <v>9412</v>
      </c>
      <c r="G272" s="101">
        <v>9502</v>
      </c>
      <c r="H272" s="88">
        <v>9254</v>
      </c>
      <c r="I272" s="98">
        <v>9180</v>
      </c>
      <c r="J272" s="98">
        <v>10355</v>
      </c>
      <c r="K272" s="88">
        <v>6971</v>
      </c>
      <c r="L272" s="88">
        <v>5094</v>
      </c>
      <c r="M272" s="88">
        <v>7041</v>
      </c>
      <c r="N272" s="88">
        <v>8402</v>
      </c>
      <c r="O272" s="88">
        <v>7442</v>
      </c>
      <c r="P272" s="89">
        <f>SUM(D272:O272)</f>
        <v>98401</v>
      </c>
      <c r="Q272"/>
    </row>
    <row r="273" spans="1:17" ht="12.75" hidden="1" customHeight="1" x14ac:dyDescent="0.25">
      <c r="B273" s="90"/>
      <c r="C273" s="87" t="s">
        <v>144</v>
      </c>
      <c r="D273" s="100">
        <v>0</v>
      </c>
      <c r="E273" s="100">
        <v>0</v>
      </c>
      <c r="F273" s="100">
        <v>0</v>
      </c>
      <c r="G273" s="100">
        <v>0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  <c r="M273" s="100">
        <v>0</v>
      </c>
      <c r="N273" s="91">
        <v>0</v>
      </c>
      <c r="O273" s="91">
        <v>124</v>
      </c>
      <c r="P273" s="89">
        <f>SUM(D273:O273)</f>
        <v>124</v>
      </c>
      <c r="Q273"/>
    </row>
    <row r="274" spans="1:17" ht="12.75" hidden="1" customHeight="1" x14ac:dyDescent="0.25">
      <c r="A274" s="209"/>
      <c r="B274" s="209"/>
      <c r="C274" s="209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09"/>
      <c r="Q274"/>
    </row>
    <row r="275" spans="1:17" ht="12.75" hidden="1" customHeight="1" thickBot="1" x14ac:dyDescent="0.3">
      <c r="B275" s="18" t="s">
        <v>121</v>
      </c>
      <c r="C275" s="18"/>
      <c r="Q275"/>
    </row>
    <row r="276" spans="1:17" ht="12.75" hidden="1" customHeight="1" thickBot="1" x14ac:dyDescent="0.3">
      <c r="B276" s="437" t="s">
        <v>1</v>
      </c>
      <c r="C276" s="438"/>
      <c r="D276" s="21">
        <v>1</v>
      </c>
      <c r="E276" s="22">
        <v>2</v>
      </c>
      <c r="F276" s="22">
        <v>3</v>
      </c>
      <c r="G276" s="22">
        <v>4</v>
      </c>
      <c r="H276" s="22">
        <v>5</v>
      </c>
      <c r="I276" s="22">
        <v>6</v>
      </c>
      <c r="J276" s="22">
        <v>7</v>
      </c>
      <c r="K276" s="22">
        <v>8</v>
      </c>
      <c r="L276" s="22">
        <v>9</v>
      </c>
      <c r="M276" s="22">
        <v>10</v>
      </c>
      <c r="N276" s="22">
        <v>11</v>
      </c>
      <c r="O276" s="22">
        <v>12</v>
      </c>
      <c r="P276" s="23" t="s">
        <v>0</v>
      </c>
      <c r="Q276"/>
    </row>
    <row r="277" spans="1:17" ht="12.75" hidden="1" customHeight="1" x14ac:dyDescent="0.25">
      <c r="B277" s="445" t="s">
        <v>46</v>
      </c>
      <c r="C277" s="175" t="s">
        <v>21</v>
      </c>
      <c r="D277" s="39">
        <v>523</v>
      </c>
      <c r="E277" s="40">
        <v>427</v>
      </c>
      <c r="F277" s="39">
        <v>574</v>
      </c>
      <c r="G277" s="40">
        <v>564</v>
      </c>
      <c r="H277" s="40">
        <v>387</v>
      </c>
      <c r="I277" s="40">
        <v>519</v>
      </c>
      <c r="J277" s="40">
        <v>322</v>
      </c>
      <c r="K277" s="40">
        <v>520</v>
      </c>
      <c r="L277" s="40">
        <v>398</v>
      </c>
      <c r="M277" s="40">
        <v>509</v>
      </c>
      <c r="N277" s="40">
        <v>489</v>
      </c>
      <c r="O277" s="40">
        <v>466</v>
      </c>
      <c r="P277" s="41">
        <f t="shared" ref="P277:P285" si="68">SUM(D277:O277)</f>
        <v>5698</v>
      </c>
      <c r="Q277"/>
    </row>
    <row r="278" spans="1:17" ht="12.75" hidden="1" customHeight="1" x14ac:dyDescent="0.25">
      <c r="B278" s="443"/>
      <c r="C278" s="176" t="s">
        <v>22</v>
      </c>
      <c r="D278" s="76">
        <v>0</v>
      </c>
      <c r="E278" s="77">
        <v>109</v>
      </c>
      <c r="F278" s="76">
        <v>279</v>
      </c>
      <c r="G278" s="77">
        <v>435</v>
      </c>
      <c r="H278" s="77">
        <v>335</v>
      </c>
      <c r="I278" s="77">
        <v>327</v>
      </c>
      <c r="J278" s="77">
        <v>312</v>
      </c>
      <c r="K278" s="77">
        <v>681</v>
      </c>
      <c r="L278" s="79">
        <v>503</v>
      </c>
      <c r="M278" s="77">
        <v>407</v>
      </c>
      <c r="N278" s="77">
        <v>268</v>
      </c>
      <c r="O278" s="77">
        <v>598</v>
      </c>
      <c r="P278" s="78">
        <f t="shared" si="68"/>
        <v>4254</v>
      </c>
      <c r="Q278"/>
    </row>
    <row r="279" spans="1:17" ht="12.75" hidden="1" customHeight="1" x14ac:dyDescent="0.25">
      <c r="B279" s="443"/>
      <c r="C279" s="176" t="s">
        <v>24</v>
      </c>
      <c r="D279" s="76">
        <v>5677</v>
      </c>
      <c r="E279" s="76">
        <v>5807</v>
      </c>
      <c r="F279" s="76">
        <v>5928</v>
      </c>
      <c r="G279" s="76">
        <v>5898</v>
      </c>
      <c r="H279" s="76">
        <v>6565</v>
      </c>
      <c r="I279" s="76">
        <v>5928</v>
      </c>
      <c r="J279" s="76">
        <v>7522</v>
      </c>
      <c r="K279" s="76">
        <v>8136</v>
      </c>
      <c r="L279" s="76">
        <v>5488</v>
      </c>
      <c r="M279" s="76">
        <v>7228</v>
      </c>
      <c r="N279" s="76">
        <v>6243</v>
      </c>
      <c r="O279" s="76">
        <v>5411</v>
      </c>
      <c r="P279" s="31">
        <f t="shared" si="68"/>
        <v>75831</v>
      </c>
      <c r="Q279"/>
    </row>
    <row r="280" spans="1:17" ht="12.75" hidden="1" customHeight="1" x14ac:dyDescent="0.25">
      <c r="A280"/>
      <c r="B280" s="443"/>
      <c r="C280" s="176" t="s">
        <v>69</v>
      </c>
      <c r="D280" s="76">
        <v>1298</v>
      </c>
      <c r="E280" s="76">
        <v>1282</v>
      </c>
      <c r="F280" s="76">
        <v>1097</v>
      </c>
      <c r="G280" s="76">
        <v>852</v>
      </c>
      <c r="H280" s="76">
        <v>814</v>
      </c>
      <c r="I280" s="76">
        <v>746</v>
      </c>
      <c r="J280" s="76">
        <v>417</v>
      </c>
      <c r="K280" s="76">
        <v>488</v>
      </c>
      <c r="L280" s="76">
        <v>360</v>
      </c>
      <c r="M280" s="76">
        <v>541</v>
      </c>
      <c r="N280" s="76">
        <v>687</v>
      </c>
      <c r="O280" s="76">
        <v>844</v>
      </c>
      <c r="P280" s="27">
        <f t="shared" si="68"/>
        <v>9426</v>
      </c>
      <c r="Q280"/>
    </row>
    <row r="281" spans="1:17" ht="12.75" hidden="1" customHeight="1" x14ac:dyDescent="0.25">
      <c r="A281"/>
      <c r="B281" s="443"/>
      <c r="C281" s="177" t="s">
        <v>3</v>
      </c>
      <c r="D281" s="29">
        <v>301</v>
      </c>
      <c r="E281" s="30">
        <v>304</v>
      </c>
      <c r="F281" s="29">
        <v>337</v>
      </c>
      <c r="G281" s="30">
        <v>265</v>
      </c>
      <c r="H281" s="30">
        <v>231</v>
      </c>
      <c r="I281" s="30">
        <v>236</v>
      </c>
      <c r="J281" s="30">
        <v>201</v>
      </c>
      <c r="K281" s="30">
        <v>272</v>
      </c>
      <c r="L281" s="32">
        <v>203</v>
      </c>
      <c r="M281" s="30">
        <v>279</v>
      </c>
      <c r="N281" s="30">
        <v>301</v>
      </c>
      <c r="O281" s="30">
        <v>295</v>
      </c>
      <c r="P281" s="78">
        <f t="shared" si="68"/>
        <v>3225</v>
      </c>
      <c r="Q281"/>
    </row>
    <row r="282" spans="1:17" ht="12.75" hidden="1" customHeight="1" x14ac:dyDescent="0.25">
      <c r="A282"/>
      <c r="B282" s="443"/>
      <c r="C282" s="178" t="s">
        <v>25</v>
      </c>
      <c r="D282" s="74">
        <f>5230+290</f>
        <v>5520</v>
      </c>
      <c r="E282" s="74">
        <v>5079</v>
      </c>
      <c r="F282" s="74">
        <v>5685</v>
      </c>
      <c r="G282" s="74">
        <v>5699</v>
      </c>
      <c r="H282" s="74">
        <v>5542</v>
      </c>
      <c r="I282" s="74">
        <v>5245</v>
      </c>
      <c r="J282" s="74">
        <v>5948</v>
      </c>
      <c r="K282" s="74">
        <v>5881</v>
      </c>
      <c r="L282" s="74">
        <v>4396</v>
      </c>
      <c r="M282" s="74">
        <v>6326</v>
      </c>
      <c r="N282" s="74">
        <v>5335</v>
      </c>
      <c r="O282" s="74">
        <v>5190</v>
      </c>
      <c r="P282" s="78">
        <f t="shared" si="68"/>
        <v>65846</v>
      </c>
      <c r="Q282"/>
    </row>
    <row r="283" spans="1:17" ht="12.75" hidden="1" customHeight="1" x14ac:dyDescent="0.25">
      <c r="A283"/>
      <c r="B283" s="443"/>
      <c r="C283" s="178" t="s">
        <v>44</v>
      </c>
      <c r="D283" s="74">
        <v>14</v>
      </c>
      <c r="E283" s="74">
        <v>17</v>
      </c>
      <c r="F283" s="74">
        <v>8</v>
      </c>
      <c r="G283" s="74">
        <v>28</v>
      </c>
      <c r="H283" s="74">
        <v>13</v>
      </c>
      <c r="I283" s="74">
        <v>8</v>
      </c>
      <c r="J283" s="74">
        <v>20</v>
      </c>
      <c r="K283" s="74">
        <v>24</v>
      </c>
      <c r="L283" s="74">
        <v>14</v>
      </c>
      <c r="M283" s="74">
        <v>20</v>
      </c>
      <c r="N283" s="74">
        <v>30</v>
      </c>
      <c r="O283" s="74">
        <v>17</v>
      </c>
      <c r="P283" s="78">
        <f t="shared" si="68"/>
        <v>213</v>
      </c>
      <c r="Q283"/>
    </row>
    <row r="284" spans="1:17" ht="12.75" hidden="1" customHeight="1" x14ac:dyDescent="0.25">
      <c r="A284"/>
      <c r="B284" s="443"/>
      <c r="C284" s="179" t="s">
        <v>27</v>
      </c>
      <c r="D284" s="72">
        <f>7662+1939</f>
        <v>9601</v>
      </c>
      <c r="E284" s="72">
        <v>8984</v>
      </c>
      <c r="F284" s="72">
        <v>10598</v>
      </c>
      <c r="G284" s="72">
        <v>9904</v>
      </c>
      <c r="H284" s="72">
        <v>10436</v>
      </c>
      <c r="I284" s="72">
        <v>8945</v>
      </c>
      <c r="J284" s="72">
        <v>8571</v>
      </c>
      <c r="K284" s="72">
        <v>8905</v>
      </c>
      <c r="L284" s="72">
        <v>7510</v>
      </c>
      <c r="M284" s="72">
        <v>9037</v>
      </c>
      <c r="N284" s="72">
        <v>10191</v>
      </c>
      <c r="O284" s="72">
        <v>10419</v>
      </c>
      <c r="P284" s="78">
        <f t="shared" si="68"/>
        <v>113101</v>
      </c>
      <c r="Q284"/>
    </row>
    <row r="285" spans="1:17" ht="12.75" hidden="1" customHeight="1" x14ac:dyDescent="0.25">
      <c r="A285"/>
      <c r="B285" s="443"/>
      <c r="C285" s="180" t="s">
        <v>56</v>
      </c>
      <c r="D285" s="127">
        <v>20</v>
      </c>
      <c r="E285" s="128">
        <v>0</v>
      </c>
      <c r="F285" s="128">
        <v>0</v>
      </c>
      <c r="G285" s="128">
        <v>0</v>
      </c>
      <c r="H285" s="128">
        <v>0</v>
      </c>
      <c r="I285" s="128">
        <v>0</v>
      </c>
      <c r="J285" s="128">
        <v>0</v>
      </c>
      <c r="K285" s="128">
        <v>0</v>
      </c>
      <c r="L285" s="128">
        <v>0</v>
      </c>
      <c r="M285" s="127">
        <v>0</v>
      </c>
      <c r="N285" s="127">
        <v>0</v>
      </c>
      <c r="O285" s="127">
        <v>0</v>
      </c>
      <c r="P285" s="78">
        <f t="shared" si="68"/>
        <v>20</v>
      </c>
      <c r="Q285"/>
    </row>
    <row r="286" spans="1:17" ht="12.75" hidden="1" customHeight="1" thickBot="1" x14ac:dyDescent="0.3">
      <c r="A286"/>
      <c r="B286" s="432"/>
      <c r="C286" s="181" t="s">
        <v>0</v>
      </c>
      <c r="D286" s="43">
        <f t="shared" ref="D286:P286" si="69">SUM(D277:D285)</f>
        <v>22954</v>
      </c>
      <c r="E286" s="43">
        <f t="shared" si="69"/>
        <v>22009</v>
      </c>
      <c r="F286" s="43">
        <f t="shared" si="69"/>
        <v>24506</v>
      </c>
      <c r="G286" s="43">
        <f t="shared" si="69"/>
        <v>23645</v>
      </c>
      <c r="H286" s="43">
        <f t="shared" si="69"/>
        <v>24323</v>
      </c>
      <c r="I286" s="43">
        <f t="shared" si="69"/>
        <v>21954</v>
      </c>
      <c r="J286" s="43">
        <f t="shared" si="69"/>
        <v>23313</v>
      </c>
      <c r="K286" s="43">
        <f t="shared" si="69"/>
        <v>24907</v>
      </c>
      <c r="L286" s="43">
        <f t="shared" si="69"/>
        <v>18872</v>
      </c>
      <c r="M286" s="43">
        <f t="shared" si="69"/>
        <v>24347</v>
      </c>
      <c r="N286" s="43">
        <f t="shared" si="69"/>
        <v>23544</v>
      </c>
      <c r="O286" s="43">
        <f t="shared" si="69"/>
        <v>23240</v>
      </c>
      <c r="P286" s="44">
        <f t="shared" si="69"/>
        <v>277614</v>
      </c>
      <c r="Q286"/>
    </row>
    <row r="287" spans="1:17" ht="12.75" hidden="1" customHeight="1" x14ac:dyDescent="0.25">
      <c r="A287"/>
      <c r="B287" s="441" t="s">
        <v>45</v>
      </c>
      <c r="C287" s="175" t="s">
        <v>114</v>
      </c>
      <c r="D287" s="39">
        <v>3507</v>
      </c>
      <c r="E287" s="40">
        <v>3366</v>
      </c>
      <c r="F287" s="40">
        <v>4098</v>
      </c>
      <c r="G287" s="40">
        <v>3490</v>
      </c>
      <c r="H287" s="40">
        <v>3741</v>
      </c>
      <c r="I287" s="40">
        <v>4014</v>
      </c>
      <c r="J287" s="40">
        <v>4917</v>
      </c>
      <c r="K287" s="40">
        <v>3994</v>
      </c>
      <c r="L287" s="40">
        <v>3816</v>
      </c>
      <c r="M287" s="40">
        <v>5375</v>
      </c>
      <c r="N287" s="40">
        <v>5558</v>
      </c>
      <c r="O287" s="40">
        <v>4592</v>
      </c>
      <c r="P287" s="41">
        <f t="shared" ref="P287:P292" si="70">SUM(D287:O287)</f>
        <v>50468</v>
      </c>
      <c r="Q287"/>
    </row>
    <row r="288" spans="1:17" ht="12.75" hidden="1" customHeight="1" x14ac:dyDescent="0.25">
      <c r="A288"/>
      <c r="B288" s="441"/>
      <c r="C288" s="182" t="s">
        <v>60</v>
      </c>
      <c r="D288" s="25">
        <v>2813</v>
      </c>
      <c r="E288" s="26">
        <v>2766</v>
      </c>
      <c r="F288" s="26">
        <v>3390</v>
      </c>
      <c r="G288" s="26">
        <v>2703</v>
      </c>
      <c r="H288" s="26">
        <v>2966</v>
      </c>
      <c r="I288" s="26">
        <v>3237</v>
      </c>
      <c r="J288" s="26">
        <v>2973</v>
      </c>
      <c r="K288" s="26">
        <v>4148</v>
      </c>
      <c r="L288" s="26">
        <v>3704</v>
      </c>
      <c r="M288" s="26">
        <v>4865</v>
      </c>
      <c r="N288" s="26">
        <v>4280</v>
      </c>
      <c r="O288" s="26">
        <v>4778</v>
      </c>
      <c r="P288" s="27">
        <f t="shared" si="70"/>
        <v>42623</v>
      </c>
      <c r="Q288"/>
    </row>
    <row r="289" spans="1:17" ht="12.75" hidden="1" customHeight="1" x14ac:dyDescent="0.25">
      <c r="A289"/>
      <c r="B289" s="441"/>
      <c r="C289" s="182" t="s">
        <v>126</v>
      </c>
      <c r="D289" s="25">
        <v>0</v>
      </c>
      <c r="E289" s="26">
        <v>0</v>
      </c>
      <c r="F289" s="26">
        <v>11</v>
      </c>
      <c r="G289" s="26">
        <v>51</v>
      </c>
      <c r="H289" s="26">
        <v>62</v>
      </c>
      <c r="I289" s="26">
        <v>55</v>
      </c>
      <c r="J289" s="26">
        <v>29</v>
      </c>
      <c r="K289" s="26">
        <v>43</v>
      </c>
      <c r="L289" s="26">
        <v>49</v>
      </c>
      <c r="M289" s="26">
        <v>127</v>
      </c>
      <c r="N289" s="26">
        <v>160</v>
      </c>
      <c r="O289" s="26">
        <v>140</v>
      </c>
      <c r="P289" s="198">
        <f t="shared" si="70"/>
        <v>727</v>
      </c>
      <c r="Q289"/>
    </row>
    <row r="290" spans="1:17" ht="12.75" hidden="1" customHeight="1" x14ac:dyDescent="0.25">
      <c r="A290"/>
      <c r="B290" s="441"/>
      <c r="C290" s="177" t="s">
        <v>8</v>
      </c>
      <c r="D290" s="29">
        <v>2957</v>
      </c>
      <c r="E290" s="30">
        <v>4141</v>
      </c>
      <c r="F290" s="30">
        <v>13076</v>
      </c>
      <c r="G290" s="30">
        <v>11837</v>
      </c>
      <c r="H290" s="30">
        <v>10668</v>
      </c>
      <c r="I290" s="30">
        <v>9074</v>
      </c>
      <c r="J290" s="30">
        <v>9893</v>
      </c>
      <c r="K290" s="30">
        <v>9805</v>
      </c>
      <c r="L290" s="30">
        <v>8326</v>
      </c>
      <c r="M290" s="30">
        <v>9781</v>
      </c>
      <c r="N290" s="30">
        <v>9001</v>
      </c>
      <c r="O290" s="30">
        <v>8643</v>
      </c>
      <c r="P290" s="78">
        <f t="shared" si="70"/>
        <v>107202</v>
      </c>
      <c r="Q290"/>
    </row>
    <row r="291" spans="1:17" ht="12.75" hidden="1" customHeight="1" x14ac:dyDescent="0.25">
      <c r="A291"/>
      <c r="B291" s="441"/>
      <c r="C291" s="177" t="s">
        <v>51</v>
      </c>
      <c r="D291" s="29">
        <v>326</v>
      </c>
      <c r="E291" s="30">
        <v>231</v>
      </c>
      <c r="F291" s="30">
        <v>280</v>
      </c>
      <c r="G291" s="30">
        <v>203</v>
      </c>
      <c r="H291" s="30">
        <v>140</v>
      </c>
      <c r="I291" s="30">
        <v>119</v>
      </c>
      <c r="J291" s="30">
        <v>195</v>
      </c>
      <c r="K291" s="30">
        <v>157</v>
      </c>
      <c r="L291" s="30">
        <v>55</v>
      </c>
      <c r="M291" s="30">
        <v>25</v>
      </c>
      <c r="N291" s="30">
        <v>19</v>
      </c>
      <c r="O291" s="30">
        <v>15</v>
      </c>
      <c r="P291" s="31">
        <f t="shared" si="70"/>
        <v>1765</v>
      </c>
      <c r="Q291"/>
    </row>
    <row r="292" spans="1:17" ht="12.75" hidden="1" customHeight="1" x14ac:dyDescent="0.25">
      <c r="A292"/>
      <c r="B292" s="441"/>
      <c r="C292" s="177" t="s">
        <v>135</v>
      </c>
      <c r="D292" s="29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1908</v>
      </c>
      <c r="P292" s="31">
        <f t="shared" si="70"/>
        <v>1908</v>
      </c>
      <c r="Q292"/>
    </row>
    <row r="293" spans="1:17" ht="12.75" hidden="1" customHeight="1" thickBot="1" x14ac:dyDescent="0.3">
      <c r="A293"/>
      <c r="B293" s="444"/>
      <c r="C293" s="183" t="s">
        <v>0</v>
      </c>
      <c r="D293" s="36">
        <f t="shared" ref="D293:O293" si="71">SUM(D287:D292)</f>
        <v>9603</v>
      </c>
      <c r="E293" s="36">
        <f t="shared" si="71"/>
        <v>10504</v>
      </c>
      <c r="F293" s="36">
        <f t="shared" si="71"/>
        <v>20855</v>
      </c>
      <c r="G293" s="36">
        <f t="shared" si="71"/>
        <v>18284</v>
      </c>
      <c r="H293" s="36">
        <f t="shared" si="71"/>
        <v>17577</v>
      </c>
      <c r="I293" s="36">
        <f t="shared" si="71"/>
        <v>16499</v>
      </c>
      <c r="J293" s="36">
        <f t="shared" si="71"/>
        <v>18007</v>
      </c>
      <c r="K293" s="36">
        <f t="shared" si="71"/>
        <v>18147</v>
      </c>
      <c r="L293" s="36">
        <f t="shared" si="71"/>
        <v>15950</v>
      </c>
      <c r="M293" s="36">
        <f t="shared" si="71"/>
        <v>20173</v>
      </c>
      <c r="N293" s="36">
        <f t="shared" si="71"/>
        <v>19018</v>
      </c>
      <c r="O293" s="36">
        <f t="shared" si="71"/>
        <v>20076</v>
      </c>
      <c r="P293" s="37">
        <f>SUM(P287:P292)</f>
        <v>204693</v>
      </c>
      <c r="Q293"/>
    </row>
    <row r="294" spans="1:17" ht="12.75" hidden="1" customHeight="1" x14ac:dyDescent="0.25">
      <c r="A294"/>
      <c r="B294" s="430" t="s">
        <v>9</v>
      </c>
      <c r="C294" s="175" t="s">
        <v>11</v>
      </c>
      <c r="D294" s="39">
        <v>3903</v>
      </c>
      <c r="E294" s="40">
        <v>3333</v>
      </c>
      <c r="F294" s="40">
        <v>4540</v>
      </c>
      <c r="G294" s="40">
        <v>4237</v>
      </c>
      <c r="H294" s="40">
        <v>3073</v>
      </c>
      <c r="I294" s="40">
        <v>5126</v>
      </c>
      <c r="J294" s="40">
        <v>4525</v>
      </c>
      <c r="K294" s="40">
        <v>2593</v>
      </c>
      <c r="L294" s="40">
        <v>4874</v>
      </c>
      <c r="M294" s="40">
        <v>4981</v>
      </c>
      <c r="N294" s="40">
        <v>5090</v>
      </c>
      <c r="O294" s="40">
        <v>3905</v>
      </c>
      <c r="P294" s="41">
        <f>SUM(D294:O294)</f>
        <v>50180</v>
      </c>
      <c r="Q294"/>
    </row>
    <row r="295" spans="1:17" ht="12.75" hidden="1" customHeight="1" x14ac:dyDescent="0.25">
      <c r="A295"/>
      <c r="B295" s="431"/>
      <c r="C295" s="182" t="s">
        <v>12</v>
      </c>
      <c r="D295" s="25">
        <v>6247</v>
      </c>
      <c r="E295" s="26">
        <v>7194</v>
      </c>
      <c r="F295" s="26">
        <v>8881</v>
      </c>
      <c r="G295" s="26">
        <v>9444</v>
      </c>
      <c r="H295" s="26">
        <v>9304</v>
      </c>
      <c r="I295" s="26">
        <v>8442</v>
      </c>
      <c r="J295" s="26">
        <v>8003</v>
      </c>
      <c r="K295" s="26">
        <v>6157</v>
      </c>
      <c r="L295" s="26">
        <v>6876</v>
      </c>
      <c r="M295" s="26">
        <v>9261</v>
      </c>
      <c r="N295" s="26">
        <v>8858</v>
      </c>
      <c r="O295" s="26">
        <v>9328</v>
      </c>
      <c r="P295" s="27">
        <f>SUM(D295:O295)</f>
        <v>97995</v>
      </c>
      <c r="Q295"/>
    </row>
    <row r="296" spans="1:17" ht="12.75" hidden="1" customHeight="1" thickBot="1" x14ac:dyDescent="0.3">
      <c r="A296"/>
      <c r="B296" s="432"/>
      <c r="C296" s="181" t="s">
        <v>0</v>
      </c>
      <c r="D296" s="43">
        <f t="shared" ref="D296:L296" si="72">SUM(D294:D295)</f>
        <v>10150</v>
      </c>
      <c r="E296" s="43">
        <f t="shared" si="72"/>
        <v>10527</v>
      </c>
      <c r="F296" s="43">
        <f t="shared" si="72"/>
        <v>13421</v>
      </c>
      <c r="G296" s="43">
        <f t="shared" si="72"/>
        <v>13681</v>
      </c>
      <c r="H296" s="43">
        <f t="shared" si="72"/>
        <v>12377</v>
      </c>
      <c r="I296" s="43">
        <f t="shared" si="72"/>
        <v>13568</v>
      </c>
      <c r="J296" s="43">
        <f t="shared" si="72"/>
        <v>12528</v>
      </c>
      <c r="K296" s="43">
        <f t="shared" si="72"/>
        <v>8750</v>
      </c>
      <c r="L296" s="43">
        <f t="shared" si="72"/>
        <v>11750</v>
      </c>
      <c r="M296" s="43">
        <f>SUM(M294:M295)</f>
        <v>14242</v>
      </c>
      <c r="N296" s="43">
        <f>SUM(N294:N295)</f>
        <v>13948</v>
      </c>
      <c r="O296" s="43">
        <f>SUM(O294:O295)</f>
        <v>13233</v>
      </c>
      <c r="P296" s="44">
        <f>SUM(P294:P295)</f>
        <v>148175</v>
      </c>
      <c r="Q296"/>
    </row>
    <row r="297" spans="1:17" ht="12.75" hidden="1" customHeight="1" x14ac:dyDescent="0.25">
      <c r="A297"/>
      <c r="B297" s="430" t="s">
        <v>10</v>
      </c>
      <c r="C297" s="175" t="s">
        <v>13</v>
      </c>
      <c r="D297" s="39">
        <f>80+181+478</f>
        <v>739</v>
      </c>
      <c r="E297" s="40">
        <v>784</v>
      </c>
      <c r="F297" s="40">
        <v>955</v>
      </c>
      <c r="G297" s="40">
        <v>804</v>
      </c>
      <c r="H297" s="40">
        <v>744</v>
      </c>
      <c r="I297" s="40">
        <v>796</v>
      </c>
      <c r="J297" s="40">
        <v>755</v>
      </c>
      <c r="K297" s="40">
        <v>536</v>
      </c>
      <c r="L297" s="40">
        <v>610</v>
      </c>
      <c r="M297" s="40">
        <v>732</v>
      </c>
      <c r="N297" s="40">
        <v>596</v>
      </c>
      <c r="O297" s="40">
        <v>579</v>
      </c>
      <c r="P297" s="41">
        <f>SUM(D297:O297)</f>
        <v>8630</v>
      </c>
      <c r="Q297"/>
    </row>
    <row r="298" spans="1:17" ht="12.75" hidden="1" customHeight="1" x14ac:dyDescent="0.25">
      <c r="A298"/>
      <c r="B298" s="431"/>
      <c r="C298" s="182" t="s">
        <v>14</v>
      </c>
      <c r="D298" s="25">
        <f>1200+376</f>
        <v>1576</v>
      </c>
      <c r="E298" s="26">
        <v>1416</v>
      </c>
      <c r="F298" s="26">
        <v>1997</v>
      </c>
      <c r="G298" s="26">
        <v>2226</v>
      </c>
      <c r="H298" s="26">
        <v>2096</v>
      </c>
      <c r="I298" s="26">
        <v>1904</v>
      </c>
      <c r="J298" s="26">
        <v>1752</v>
      </c>
      <c r="K298" s="26">
        <v>1717</v>
      </c>
      <c r="L298" s="26">
        <v>1193</v>
      </c>
      <c r="M298" s="26">
        <v>1668</v>
      </c>
      <c r="N298" s="26">
        <v>1704</v>
      </c>
      <c r="O298" s="26">
        <v>1372</v>
      </c>
      <c r="P298" s="27">
        <f>SUM(D298:O298)</f>
        <v>20621</v>
      </c>
      <c r="Q298"/>
    </row>
    <row r="299" spans="1:17" ht="12.75" hidden="1" customHeight="1" thickBot="1" x14ac:dyDescent="0.3">
      <c r="A299"/>
      <c r="B299" s="432"/>
      <c r="C299" s="181" t="s">
        <v>0</v>
      </c>
      <c r="D299" s="43">
        <f t="shared" ref="D299:I299" si="73">SUM(D297:D298)</f>
        <v>2315</v>
      </c>
      <c r="E299" s="43">
        <f t="shared" si="73"/>
        <v>2200</v>
      </c>
      <c r="F299" s="43">
        <f t="shared" si="73"/>
        <v>2952</v>
      </c>
      <c r="G299" s="43">
        <f t="shared" si="73"/>
        <v>3030</v>
      </c>
      <c r="H299" s="43">
        <f t="shared" si="73"/>
        <v>2840</v>
      </c>
      <c r="I299" s="43">
        <f t="shared" si="73"/>
        <v>2700</v>
      </c>
      <c r="J299" s="43">
        <f t="shared" ref="J299:P299" si="74">SUM(J297:J298)</f>
        <v>2507</v>
      </c>
      <c r="K299" s="43">
        <f t="shared" si="74"/>
        <v>2253</v>
      </c>
      <c r="L299" s="43">
        <f t="shared" si="74"/>
        <v>1803</v>
      </c>
      <c r="M299" s="43">
        <f t="shared" si="74"/>
        <v>2400</v>
      </c>
      <c r="N299" s="43">
        <f t="shared" si="74"/>
        <v>2300</v>
      </c>
      <c r="O299" s="43">
        <f t="shared" si="74"/>
        <v>1951</v>
      </c>
      <c r="P299" s="44">
        <f t="shared" si="74"/>
        <v>29251</v>
      </c>
      <c r="Q299"/>
    </row>
    <row r="300" spans="1:17" ht="4.5" hidden="1" customHeight="1" x14ac:dyDescent="0.25">
      <c r="A300"/>
      <c r="B300" s="449" t="s">
        <v>4</v>
      </c>
      <c r="C300" s="184" t="s">
        <v>116</v>
      </c>
      <c r="D300" s="156">
        <v>1418</v>
      </c>
      <c r="E300" s="156">
        <v>1062</v>
      </c>
      <c r="F300" s="156">
        <v>1233</v>
      </c>
      <c r="G300" s="156">
        <v>1103</v>
      </c>
      <c r="H300" s="156">
        <v>967</v>
      </c>
      <c r="I300" s="156">
        <v>1035</v>
      </c>
      <c r="J300" s="156">
        <v>890</v>
      </c>
      <c r="K300" s="156">
        <v>1138</v>
      </c>
      <c r="L300" s="156">
        <v>1024</v>
      </c>
      <c r="M300" s="156">
        <v>1406</v>
      </c>
      <c r="N300" s="156">
        <v>1550</v>
      </c>
      <c r="O300" s="156">
        <v>1591</v>
      </c>
      <c r="P300" s="157">
        <f>SUM(D300:O300)</f>
        <v>14417</v>
      </c>
      <c r="Q300"/>
    </row>
    <row r="301" spans="1:17" hidden="1" x14ac:dyDescent="0.25">
      <c r="A301"/>
      <c r="B301" s="450"/>
      <c r="C301" s="185" t="s">
        <v>118</v>
      </c>
      <c r="D301" s="132">
        <v>4047</v>
      </c>
      <c r="E301" s="132">
        <v>3055</v>
      </c>
      <c r="F301" s="132">
        <v>3618</v>
      </c>
      <c r="G301" s="132">
        <v>3132</v>
      </c>
      <c r="H301" s="132">
        <v>2976</v>
      </c>
      <c r="I301" s="132">
        <v>3116</v>
      </c>
      <c r="J301" s="132">
        <v>2621</v>
      </c>
      <c r="K301" s="132">
        <v>2982</v>
      </c>
      <c r="L301" s="132">
        <v>2767</v>
      </c>
      <c r="M301" s="132">
        <v>3411</v>
      </c>
      <c r="N301" s="132">
        <v>2889</v>
      </c>
      <c r="O301" s="132">
        <v>2605</v>
      </c>
      <c r="P301" s="133">
        <f>SUM(D301:O301)</f>
        <v>37219</v>
      </c>
    </row>
    <row r="302" spans="1:17" ht="9.9" hidden="1" customHeight="1" x14ac:dyDescent="0.25">
      <c r="A302"/>
      <c r="B302" s="450"/>
      <c r="C302" s="177" t="s">
        <v>133</v>
      </c>
      <c r="D302" s="29">
        <v>939</v>
      </c>
      <c r="E302" s="30">
        <v>843</v>
      </c>
      <c r="F302" s="30">
        <v>992</v>
      </c>
      <c r="G302" s="30">
        <v>913</v>
      </c>
      <c r="H302" s="30">
        <v>836</v>
      </c>
      <c r="I302" s="30">
        <v>622</v>
      </c>
      <c r="J302" s="30">
        <v>501</v>
      </c>
      <c r="K302" s="30">
        <v>405</v>
      </c>
      <c r="L302" s="30">
        <v>328</v>
      </c>
      <c r="M302" s="30">
        <v>309</v>
      </c>
      <c r="N302" s="30">
        <v>882</v>
      </c>
      <c r="O302" s="30">
        <v>2139</v>
      </c>
      <c r="P302" s="31">
        <f>SUM(D302:O302)</f>
        <v>9709</v>
      </c>
    </row>
    <row r="303" spans="1:17" s="20" customFormat="1" ht="9.9" hidden="1" customHeight="1" thickBot="1" x14ac:dyDescent="0.3">
      <c r="A303"/>
      <c r="B303" s="451"/>
      <c r="C303" s="42" t="s">
        <v>0</v>
      </c>
      <c r="D303" s="43">
        <f>SUM(D300:D302)</f>
        <v>6404</v>
      </c>
      <c r="E303" s="43">
        <f t="shared" ref="E303:P303" si="75">SUM(E300:E302)</f>
        <v>4960</v>
      </c>
      <c r="F303" s="43">
        <f t="shared" si="75"/>
        <v>5843</v>
      </c>
      <c r="G303" s="43">
        <f t="shared" si="75"/>
        <v>5148</v>
      </c>
      <c r="H303" s="43">
        <f t="shared" si="75"/>
        <v>4779</v>
      </c>
      <c r="I303" s="43">
        <f t="shared" si="75"/>
        <v>4773</v>
      </c>
      <c r="J303" s="43">
        <f t="shared" si="75"/>
        <v>4012</v>
      </c>
      <c r="K303" s="43">
        <f t="shared" si="75"/>
        <v>4525</v>
      </c>
      <c r="L303" s="43">
        <f t="shared" si="75"/>
        <v>4119</v>
      </c>
      <c r="M303" s="43">
        <f t="shared" si="75"/>
        <v>5126</v>
      </c>
      <c r="N303" s="43">
        <f t="shared" si="75"/>
        <v>5321</v>
      </c>
      <c r="O303" s="43">
        <f t="shared" si="75"/>
        <v>6335</v>
      </c>
      <c r="P303" s="43">
        <f t="shared" si="75"/>
        <v>61345</v>
      </c>
    </row>
    <row r="304" spans="1:17" ht="4.5" hidden="1" customHeight="1" thickBot="1" x14ac:dyDescent="0.3">
      <c r="A304"/>
      <c r="B304" s="435" t="s">
        <v>2</v>
      </c>
      <c r="C304" s="436"/>
      <c r="D304" s="45">
        <f t="shared" ref="D304:O304" si="76">D286+D293+D299+D296+D303</f>
        <v>51426</v>
      </c>
      <c r="E304" s="45">
        <f t="shared" si="76"/>
        <v>50200</v>
      </c>
      <c r="F304" s="45">
        <f t="shared" si="76"/>
        <v>67577</v>
      </c>
      <c r="G304" s="45">
        <f t="shared" si="76"/>
        <v>63788</v>
      </c>
      <c r="H304" s="45">
        <f t="shared" si="76"/>
        <v>61896</v>
      </c>
      <c r="I304" s="45">
        <f t="shared" si="76"/>
        <v>59494</v>
      </c>
      <c r="J304" s="45">
        <f t="shared" si="76"/>
        <v>60367</v>
      </c>
      <c r="K304" s="45">
        <f t="shared" si="76"/>
        <v>58582</v>
      </c>
      <c r="L304" s="45">
        <f t="shared" si="76"/>
        <v>52494</v>
      </c>
      <c r="M304" s="45">
        <f t="shared" si="76"/>
        <v>66288</v>
      </c>
      <c r="N304" s="45">
        <f t="shared" si="76"/>
        <v>64131</v>
      </c>
      <c r="O304" s="45">
        <f t="shared" si="76"/>
        <v>64835</v>
      </c>
      <c r="P304" s="45">
        <f>SUM(P286,P293,P303,P296,P299)</f>
        <v>721078</v>
      </c>
      <c r="Q304"/>
    </row>
    <row r="305" spans="1:17" hidden="1" x14ac:dyDescent="0.25">
      <c r="A305"/>
      <c r="J305" s="116"/>
    </row>
    <row r="306" spans="1:17" ht="9.9" hidden="1" customHeight="1" x14ac:dyDescent="0.25">
      <c r="A306"/>
      <c r="B306" s="82" t="s">
        <v>69</v>
      </c>
      <c r="C306" s="83"/>
      <c r="D306" s="84">
        <f t="shared" ref="D306:P306" si="77">SUM(D307:D308)</f>
        <v>1298</v>
      </c>
      <c r="E306" s="84">
        <f t="shared" si="77"/>
        <v>1282</v>
      </c>
      <c r="F306" s="84">
        <f t="shared" si="77"/>
        <v>1097</v>
      </c>
      <c r="G306" s="84">
        <f t="shared" si="77"/>
        <v>852</v>
      </c>
      <c r="H306" s="84">
        <f t="shared" si="77"/>
        <v>814</v>
      </c>
      <c r="I306" s="84">
        <f t="shared" si="77"/>
        <v>746</v>
      </c>
      <c r="J306" s="84">
        <f t="shared" si="77"/>
        <v>417</v>
      </c>
      <c r="K306" s="84">
        <f t="shared" si="77"/>
        <v>488</v>
      </c>
      <c r="L306" s="84">
        <f t="shared" si="77"/>
        <v>360</v>
      </c>
      <c r="M306" s="84">
        <f t="shared" si="77"/>
        <v>541</v>
      </c>
      <c r="N306" s="84">
        <f t="shared" si="77"/>
        <v>687</v>
      </c>
      <c r="O306" s="84">
        <f t="shared" si="77"/>
        <v>844</v>
      </c>
      <c r="P306" s="85">
        <f t="shared" si="77"/>
        <v>9426</v>
      </c>
    </row>
    <row r="307" spans="1:17" ht="9.9" hidden="1" customHeight="1" x14ac:dyDescent="0.25">
      <c r="A307"/>
      <c r="B307" s="86"/>
      <c r="C307" s="87" t="s">
        <v>144</v>
      </c>
      <c r="D307" s="100">
        <v>1086</v>
      </c>
      <c r="E307" s="100">
        <v>949</v>
      </c>
      <c r="F307" s="88">
        <v>886</v>
      </c>
      <c r="G307" s="101">
        <v>485</v>
      </c>
      <c r="H307" s="88">
        <v>548</v>
      </c>
      <c r="I307" s="98">
        <v>534</v>
      </c>
      <c r="J307" s="98">
        <v>252</v>
      </c>
      <c r="K307" s="88">
        <v>113</v>
      </c>
      <c r="L307" s="88">
        <v>102</v>
      </c>
      <c r="M307" s="88">
        <v>183</v>
      </c>
      <c r="N307" s="88">
        <v>187</v>
      </c>
      <c r="O307" s="88">
        <v>281</v>
      </c>
      <c r="P307" s="200">
        <f>SUM(D307:O307)</f>
        <v>5606</v>
      </c>
    </row>
    <row r="308" spans="1:17" s="20" customFormat="1" ht="9.9" hidden="1" customHeight="1" x14ac:dyDescent="0.25">
      <c r="B308" s="90"/>
      <c r="C308" s="87" t="s">
        <v>143</v>
      </c>
      <c r="D308" s="100">
        <v>212</v>
      </c>
      <c r="E308" s="100">
        <v>333</v>
      </c>
      <c r="F308" s="88">
        <v>211</v>
      </c>
      <c r="G308" s="101">
        <v>367</v>
      </c>
      <c r="H308" s="88">
        <v>266</v>
      </c>
      <c r="I308" s="98">
        <v>212</v>
      </c>
      <c r="J308" s="201">
        <v>165</v>
      </c>
      <c r="K308" s="202">
        <v>375</v>
      </c>
      <c r="L308" s="202">
        <v>258</v>
      </c>
      <c r="M308" s="202">
        <v>358</v>
      </c>
      <c r="N308" s="202">
        <v>500</v>
      </c>
      <c r="O308" s="202">
        <v>563</v>
      </c>
      <c r="P308" s="200">
        <f>SUM(D308:O308)</f>
        <v>3820</v>
      </c>
    </row>
    <row r="309" spans="1:17" ht="4.5" hidden="1" customHeight="1" x14ac:dyDescent="0.25">
      <c r="A309"/>
      <c r="J309" s="116"/>
      <c r="Q309"/>
    </row>
    <row r="310" spans="1:17" hidden="1" x14ac:dyDescent="0.25">
      <c r="A310"/>
      <c r="B310" s="93" t="s">
        <v>25</v>
      </c>
      <c r="C310" s="94"/>
      <c r="D310" s="84">
        <f t="shared" ref="D310:P310" si="78">SUM(D311:D313)</f>
        <v>5520</v>
      </c>
      <c r="E310" s="84">
        <f t="shared" si="78"/>
        <v>5079</v>
      </c>
      <c r="F310" s="84">
        <f t="shared" si="78"/>
        <v>5685</v>
      </c>
      <c r="G310" s="84">
        <f t="shared" si="78"/>
        <v>5699</v>
      </c>
      <c r="H310" s="84">
        <f t="shared" si="78"/>
        <v>5542</v>
      </c>
      <c r="I310" s="84">
        <f t="shared" si="78"/>
        <v>5245</v>
      </c>
      <c r="J310" s="84">
        <f t="shared" si="78"/>
        <v>5948</v>
      </c>
      <c r="K310" s="84">
        <f t="shared" si="78"/>
        <v>5881</v>
      </c>
      <c r="L310" s="84">
        <f t="shared" si="78"/>
        <v>4396</v>
      </c>
      <c r="M310" s="84">
        <f t="shared" si="78"/>
        <v>6326</v>
      </c>
      <c r="N310" s="84">
        <f t="shared" si="78"/>
        <v>5335</v>
      </c>
      <c r="O310" s="84">
        <f t="shared" si="78"/>
        <v>5190</v>
      </c>
      <c r="P310" s="84">
        <f t="shared" si="78"/>
        <v>65846</v>
      </c>
    </row>
    <row r="311" spans="1:17" ht="9.75" hidden="1" customHeight="1" x14ac:dyDescent="0.25">
      <c r="A311"/>
      <c r="B311" s="86"/>
      <c r="C311" s="87" t="s">
        <v>26</v>
      </c>
      <c r="D311" s="88">
        <v>0</v>
      </c>
      <c r="E311" s="88">
        <v>0</v>
      </c>
      <c r="F311" s="88">
        <v>0</v>
      </c>
      <c r="G311" s="88">
        <v>0</v>
      </c>
      <c r="H311" s="88">
        <v>0</v>
      </c>
      <c r="I311" s="88"/>
      <c r="J311" s="88"/>
      <c r="K311" s="88"/>
      <c r="L311" s="88"/>
      <c r="M311" s="88"/>
      <c r="N311" s="88"/>
      <c r="O311" s="88"/>
      <c r="P311" s="89">
        <f>SUM(D311:O311)</f>
        <v>0</v>
      </c>
    </row>
    <row r="312" spans="1:17" ht="9.75" hidden="1" customHeight="1" x14ac:dyDescent="0.25">
      <c r="B312" s="86"/>
      <c r="C312" s="87" t="s">
        <v>53</v>
      </c>
      <c r="D312" s="123">
        <v>5230</v>
      </c>
      <c r="E312" s="123">
        <v>4781</v>
      </c>
      <c r="F312" s="123">
        <v>5377</v>
      </c>
      <c r="G312" s="88">
        <v>5365</v>
      </c>
      <c r="H312" s="88">
        <v>5191</v>
      </c>
      <c r="I312" s="88">
        <v>4941</v>
      </c>
      <c r="J312" s="88">
        <v>5610</v>
      </c>
      <c r="K312" s="88">
        <v>5541</v>
      </c>
      <c r="L312" s="88">
        <v>4147</v>
      </c>
      <c r="M312" s="88">
        <v>5993</v>
      </c>
      <c r="N312" s="88">
        <v>4909</v>
      </c>
      <c r="O312" s="88">
        <v>4639</v>
      </c>
      <c r="P312" s="200">
        <f>SUM(D312:O312)</f>
        <v>61724</v>
      </c>
    </row>
    <row r="313" spans="1:17" ht="4.5" hidden="1" customHeight="1" x14ac:dyDescent="0.25">
      <c r="B313" s="90"/>
      <c r="C313" s="129" t="s">
        <v>142</v>
      </c>
      <c r="D313" s="123">
        <v>290</v>
      </c>
      <c r="E313" s="123">
        <v>298</v>
      </c>
      <c r="F313" s="123">
        <v>308</v>
      </c>
      <c r="G313" s="123">
        <v>334</v>
      </c>
      <c r="H313" s="123">
        <v>351</v>
      </c>
      <c r="I313" s="123">
        <v>304</v>
      </c>
      <c r="J313" s="123">
        <v>338</v>
      </c>
      <c r="K313" s="123">
        <v>340</v>
      </c>
      <c r="L313" s="123">
        <v>249</v>
      </c>
      <c r="M313" s="123">
        <v>333</v>
      </c>
      <c r="N313" s="123">
        <v>426</v>
      </c>
      <c r="O313" s="202">
        <v>551</v>
      </c>
      <c r="P313" s="200">
        <f>SUM(D313:O313)</f>
        <v>4122</v>
      </c>
      <c r="Q313"/>
    </row>
    <row r="314" spans="1:17" ht="9.9" hidden="1" customHeight="1" x14ac:dyDescent="0.25">
      <c r="J314" s="116"/>
    </row>
    <row r="315" spans="1:17" ht="9.9" hidden="1" customHeight="1" x14ac:dyDescent="0.25">
      <c r="B315" s="82" t="s">
        <v>27</v>
      </c>
      <c r="C315" s="83"/>
      <c r="D315" s="84">
        <f t="shared" ref="D315:P315" si="79">SUM(D316:D317)</f>
        <v>9601</v>
      </c>
      <c r="E315" s="84">
        <f t="shared" si="79"/>
        <v>8984</v>
      </c>
      <c r="F315" s="84">
        <f t="shared" si="79"/>
        <v>10598</v>
      </c>
      <c r="G315" s="84">
        <f t="shared" si="79"/>
        <v>9904</v>
      </c>
      <c r="H315" s="84">
        <f t="shared" si="79"/>
        <v>10436</v>
      </c>
      <c r="I315" s="84">
        <f t="shared" si="79"/>
        <v>8945</v>
      </c>
      <c r="J315" s="84">
        <f t="shared" si="79"/>
        <v>8571</v>
      </c>
      <c r="K315" s="84">
        <f t="shared" si="79"/>
        <v>8905</v>
      </c>
      <c r="L315" s="84">
        <f t="shared" si="79"/>
        <v>7510</v>
      </c>
      <c r="M315" s="84">
        <f t="shared" si="79"/>
        <v>9037</v>
      </c>
      <c r="N315" s="84">
        <f t="shared" si="79"/>
        <v>10191</v>
      </c>
      <c r="O315" s="84">
        <f t="shared" si="79"/>
        <v>10419</v>
      </c>
      <c r="P315" s="84">
        <f t="shared" si="79"/>
        <v>113101</v>
      </c>
    </row>
    <row r="316" spans="1:17" ht="9.9" hidden="1" customHeight="1" x14ac:dyDescent="0.25">
      <c r="B316" s="86"/>
      <c r="C316" s="148" t="s">
        <v>80</v>
      </c>
      <c r="D316" s="149">
        <v>7662</v>
      </c>
      <c r="E316" s="149">
        <v>7359</v>
      </c>
      <c r="F316" s="150">
        <v>8653</v>
      </c>
      <c r="G316" s="151">
        <v>8176</v>
      </c>
      <c r="H316" s="150">
        <v>7915</v>
      </c>
      <c r="I316" s="152">
        <v>6674</v>
      </c>
      <c r="J316" s="152">
        <v>6567</v>
      </c>
      <c r="K316" s="150">
        <v>7600</v>
      </c>
      <c r="L316" s="150">
        <v>5564</v>
      </c>
      <c r="M316" s="150">
        <v>6737</v>
      </c>
      <c r="N316" s="150">
        <v>7614</v>
      </c>
      <c r="O316" s="150">
        <v>8012</v>
      </c>
      <c r="P316" s="153">
        <f>SUM(D316:O316)</f>
        <v>88533</v>
      </c>
    </row>
    <row r="317" spans="1:17" s="197" customFormat="1" ht="6" hidden="1" customHeight="1" x14ac:dyDescent="0.25">
      <c r="A317" s="20"/>
      <c r="B317" s="90"/>
      <c r="C317" s="87" t="s">
        <v>143</v>
      </c>
      <c r="D317" s="100">
        <v>1939</v>
      </c>
      <c r="E317" s="100">
        <v>1625</v>
      </c>
      <c r="F317" s="88">
        <v>1945</v>
      </c>
      <c r="G317" s="101">
        <v>1728</v>
      </c>
      <c r="H317" s="88">
        <v>2521</v>
      </c>
      <c r="I317" s="98">
        <v>2271</v>
      </c>
      <c r="J317" s="201">
        <v>2004</v>
      </c>
      <c r="K317" s="202">
        <v>1305</v>
      </c>
      <c r="L317" s="202">
        <v>1946</v>
      </c>
      <c r="M317" s="202">
        <v>2300</v>
      </c>
      <c r="N317" s="202">
        <v>2577</v>
      </c>
      <c r="O317" s="202">
        <v>2407</v>
      </c>
      <c r="P317" s="200">
        <f>SUM(D317:O317)</f>
        <v>24568</v>
      </c>
      <c r="Q317" s="196"/>
    </row>
    <row r="318" spans="1:17" hidden="1" x14ac:dyDescent="0.25">
      <c r="J318" s="116"/>
    </row>
    <row r="319" spans="1:17" ht="9.9" hidden="1" customHeight="1" x14ac:dyDescent="0.25">
      <c r="B319" s="82" t="s">
        <v>128</v>
      </c>
      <c r="C319" s="83"/>
      <c r="D319" s="84">
        <f t="shared" ref="D319:P319" si="80">SUM(D320:D321)</f>
        <v>3507</v>
      </c>
      <c r="E319" s="84">
        <f t="shared" si="80"/>
        <v>3366</v>
      </c>
      <c r="F319" s="84">
        <f t="shared" si="80"/>
        <v>4098</v>
      </c>
      <c r="G319" s="84">
        <f t="shared" si="80"/>
        <v>3490</v>
      </c>
      <c r="H319" s="84">
        <f t="shared" si="80"/>
        <v>3741</v>
      </c>
      <c r="I319" s="84">
        <f t="shared" si="80"/>
        <v>4014</v>
      </c>
      <c r="J319" s="84">
        <f t="shared" si="80"/>
        <v>4917</v>
      </c>
      <c r="K319" s="84">
        <f t="shared" si="80"/>
        <v>3994</v>
      </c>
      <c r="L319" s="84">
        <f t="shared" si="80"/>
        <v>3816</v>
      </c>
      <c r="M319" s="84">
        <f t="shared" si="80"/>
        <v>5375</v>
      </c>
      <c r="N319" s="84">
        <f t="shared" si="80"/>
        <v>5558</v>
      </c>
      <c r="O319" s="84">
        <f t="shared" si="80"/>
        <v>4592</v>
      </c>
      <c r="P319" s="85">
        <f t="shared" si="80"/>
        <v>50468</v>
      </c>
    </row>
    <row r="320" spans="1:17" ht="9.9" hidden="1" customHeight="1" x14ac:dyDescent="0.25">
      <c r="B320" s="86"/>
      <c r="C320" s="87" t="s">
        <v>129</v>
      </c>
      <c r="D320" s="100">
        <v>3507</v>
      </c>
      <c r="E320" s="100">
        <v>3366</v>
      </c>
      <c r="F320" s="88">
        <v>4098</v>
      </c>
      <c r="G320" s="101">
        <v>3490</v>
      </c>
      <c r="H320" s="88">
        <v>3437</v>
      </c>
      <c r="I320" s="98">
        <v>2938</v>
      </c>
      <c r="J320" s="201">
        <v>3600</v>
      </c>
      <c r="K320" s="202">
        <v>3346</v>
      </c>
      <c r="L320" s="202">
        <v>2434</v>
      </c>
      <c r="M320" s="202">
        <v>2902</v>
      </c>
      <c r="N320" s="202">
        <v>2652</v>
      </c>
      <c r="O320" s="202">
        <v>3505</v>
      </c>
      <c r="P320" s="200">
        <f>SUM(D320:O320)</f>
        <v>39275</v>
      </c>
    </row>
    <row r="321" spans="1:17" ht="6" hidden="1" customHeight="1" x14ac:dyDescent="0.25">
      <c r="B321" s="86"/>
      <c r="C321" s="87" t="s">
        <v>75</v>
      </c>
      <c r="D321" s="100">
        <v>0</v>
      </c>
      <c r="E321" s="100">
        <v>0</v>
      </c>
      <c r="F321" s="88">
        <v>0</v>
      </c>
      <c r="G321" s="101">
        <v>0</v>
      </c>
      <c r="H321" s="88">
        <v>304</v>
      </c>
      <c r="I321" s="98">
        <v>1076</v>
      </c>
      <c r="J321" s="98">
        <v>1317</v>
      </c>
      <c r="K321" s="88">
        <v>648</v>
      </c>
      <c r="L321" s="88">
        <v>1382</v>
      </c>
      <c r="M321" s="88">
        <v>2473</v>
      </c>
      <c r="N321" s="88">
        <v>2906</v>
      </c>
      <c r="O321" s="88">
        <v>1087</v>
      </c>
      <c r="P321" s="200">
        <f>SUM(D321:O321)</f>
        <v>11193</v>
      </c>
    </row>
    <row r="322" spans="1:17" hidden="1" x14ac:dyDescent="0.25">
      <c r="A322" s="191"/>
      <c r="B322" s="192"/>
      <c r="C322" s="192"/>
      <c r="D322" s="193"/>
      <c r="E322" s="193"/>
      <c r="F322" s="193"/>
      <c r="G322" s="193"/>
      <c r="H322" s="193"/>
      <c r="I322" s="193"/>
      <c r="J322" s="194"/>
      <c r="K322" s="194"/>
      <c r="L322" s="194"/>
      <c r="M322" s="194"/>
      <c r="N322" s="194"/>
      <c r="O322" s="194"/>
      <c r="P322" s="195"/>
    </row>
    <row r="323" spans="1:17" ht="9.9" hidden="1" customHeight="1" x14ac:dyDescent="0.25">
      <c r="B323" s="82" t="s">
        <v>122</v>
      </c>
      <c r="C323" s="83"/>
      <c r="D323" s="84">
        <f t="shared" ref="D323:P323" si="81">SUM(D324:D325)</f>
        <v>2957</v>
      </c>
      <c r="E323" s="84">
        <f t="shared" si="81"/>
        <v>4141</v>
      </c>
      <c r="F323" s="84">
        <f t="shared" si="81"/>
        <v>13076</v>
      </c>
      <c r="G323" s="84">
        <f t="shared" si="81"/>
        <v>11837</v>
      </c>
      <c r="H323" s="84">
        <f t="shared" si="81"/>
        <v>10668</v>
      </c>
      <c r="I323" s="84">
        <f t="shared" si="81"/>
        <v>9074</v>
      </c>
      <c r="J323" s="84">
        <f t="shared" si="81"/>
        <v>9893</v>
      </c>
      <c r="K323" s="84">
        <f t="shared" si="81"/>
        <v>9805</v>
      </c>
      <c r="L323" s="84">
        <f t="shared" si="81"/>
        <v>8326</v>
      </c>
      <c r="M323" s="84">
        <f t="shared" si="81"/>
        <v>9781</v>
      </c>
      <c r="N323" s="84">
        <f t="shared" si="81"/>
        <v>9001</v>
      </c>
      <c r="O323" s="84">
        <f t="shared" si="81"/>
        <v>8643</v>
      </c>
      <c r="P323" s="85">
        <f t="shared" si="81"/>
        <v>107202</v>
      </c>
    </row>
    <row r="324" spans="1:17" ht="9.9" hidden="1" customHeight="1" x14ac:dyDescent="0.25">
      <c r="B324" s="86"/>
      <c r="C324" s="87" t="s">
        <v>123</v>
      </c>
      <c r="D324" s="100">
        <v>2957</v>
      </c>
      <c r="E324" s="100">
        <v>2494</v>
      </c>
      <c r="F324" s="88">
        <v>1457</v>
      </c>
      <c r="G324" s="101">
        <v>841</v>
      </c>
      <c r="H324" s="88">
        <v>296</v>
      </c>
      <c r="I324" s="98">
        <v>10</v>
      </c>
      <c r="J324" s="98">
        <v>2</v>
      </c>
      <c r="K324" s="88">
        <v>2</v>
      </c>
      <c r="L324" s="88">
        <v>0</v>
      </c>
      <c r="M324" s="88">
        <v>0</v>
      </c>
      <c r="N324" s="88">
        <v>0</v>
      </c>
      <c r="O324" s="88">
        <v>0</v>
      </c>
      <c r="P324" s="200">
        <f>SUM(D324:O324)</f>
        <v>8059</v>
      </c>
    </row>
    <row r="325" spans="1:17" s="16" customFormat="1" ht="6.75" hidden="1" customHeight="1" x14ac:dyDescent="0.25">
      <c r="A325" s="20"/>
      <c r="B325" s="90"/>
      <c r="C325" s="87" t="s">
        <v>124</v>
      </c>
      <c r="D325" s="100">
        <v>0</v>
      </c>
      <c r="E325" s="100">
        <v>1647</v>
      </c>
      <c r="F325" s="88">
        <v>11619</v>
      </c>
      <c r="G325" s="101">
        <v>10996</v>
      </c>
      <c r="H325" s="88">
        <v>10372</v>
      </c>
      <c r="I325" s="98">
        <v>9064</v>
      </c>
      <c r="J325" s="201">
        <v>9891</v>
      </c>
      <c r="K325" s="202">
        <v>9803</v>
      </c>
      <c r="L325" s="202">
        <v>8326</v>
      </c>
      <c r="M325" s="202">
        <v>9781</v>
      </c>
      <c r="N325" s="202">
        <v>9001</v>
      </c>
      <c r="O325" s="202">
        <v>8643</v>
      </c>
      <c r="P325" s="200">
        <f>SUM(D325:O325)</f>
        <v>99143</v>
      </c>
      <c r="Q325" s="113"/>
    </row>
    <row r="326" spans="1:17" hidden="1" x14ac:dyDescent="0.25">
      <c r="B326" s="102"/>
      <c r="C326" s="95"/>
      <c r="D326" s="199"/>
      <c r="E326" s="199"/>
      <c r="F326" s="199"/>
      <c r="G326" s="199"/>
      <c r="H326" s="199"/>
      <c r="I326" s="199"/>
      <c r="J326" s="96"/>
      <c r="K326" s="96"/>
      <c r="L326" s="96"/>
      <c r="M326" s="96"/>
      <c r="N326" s="96"/>
      <c r="O326" s="96"/>
      <c r="P326" s="97"/>
    </row>
    <row r="327" spans="1:17" ht="12.75" hidden="1" customHeight="1" x14ac:dyDescent="0.25">
      <c r="B327" s="82" t="s">
        <v>130</v>
      </c>
      <c r="C327" s="83"/>
      <c r="D327" s="84">
        <f t="shared" ref="D327:P327" si="82">SUM(D328:D329)</f>
        <v>939</v>
      </c>
      <c r="E327" s="84">
        <f t="shared" si="82"/>
        <v>843</v>
      </c>
      <c r="F327" s="84">
        <f t="shared" si="82"/>
        <v>992</v>
      </c>
      <c r="G327" s="84">
        <f t="shared" si="82"/>
        <v>913</v>
      </c>
      <c r="H327" s="84">
        <f t="shared" si="82"/>
        <v>836</v>
      </c>
      <c r="I327" s="84">
        <f t="shared" si="82"/>
        <v>622</v>
      </c>
      <c r="J327" s="84">
        <f t="shared" si="82"/>
        <v>501</v>
      </c>
      <c r="K327" s="84">
        <f t="shared" si="82"/>
        <v>405</v>
      </c>
      <c r="L327" s="84">
        <f t="shared" si="82"/>
        <v>328</v>
      </c>
      <c r="M327" s="84">
        <f t="shared" si="82"/>
        <v>309</v>
      </c>
      <c r="N327" s="84">
        <f t="shared" si="82"/>
        <v>882</v>
      </c>
      <c r="O327" s="84">
        <f t="shared" si="82"/>
        <v>2139</v>
      </c>
      <c r="P327" s="85">
        <f t="shared" si="82"/>
        <v>9709</v>
      </c>
    </row>
    <row r="328" spans="1:17" ht="12.75" hidden="1" customHeight="1" x14ac:dyDescent="0.25">
      <c r="A328"/>
      <c r="B328" s="86"/>
      <c r="C328" s="87" t="s">
        <v>131</v>
      </c>
      <c r="D328" s="100">
        <v>939</v>
      </c>
      <c r="E328" s="100">
        <v>843</v>
      </c>
      <c r="F328" s="88">
        <v>992</v>
      </c>
      <c r="G328" s="101">
        <v>913</v>
      </c>
      <c r="H328" s="88">
        <v>836</v>
      </c>
      <c r="I328" s="98">
        <v>622</v>
      </c>
      <c r="J328" s="98">
        <v>501</v>
      </c>
      <c r="K328" s="88">
        <v>405</v>
      </c>
      <c r="L328" s="88">
        <v>328</v>
      </c>
      <c r="M328" s="88">
        <v>309</v>
      </c>
      <c r="N328" s="88">
        <v>333</v>
      </c>
      <c r="O328" s="88">
        <v>230</v>
      </c>
      <c r="P328" s="200">
        <f>SUM(D328:O328)</f>
        <v>7251</v>
      </c>
      <c r="Q328"/>
    </row>
    <row r="329" spans="1:17" ht="12.75" hidden="1" customHeight="1" x14ac:dyDescent="0.25">
      <c r="A329"/>
      <c r="B329" s="90"/>
      <c r="C329" s="87" t="s">
        <v>132</v>
      </c>
      <c r="D329" s="100">
        <v>0</v>
      </c>
      <c r="E329" s="100">
        <v>0</v>
      </c>
      <c r="F329" s="100">
        <v>0</v>
      </c>
      <c r="G329" s="100">
        <v>0</v>
      </c>
      <c r="H329" s="100">
        <v>0</v>
      </c>
      <c r="I329" s="100">
        <v>0</v>
      </c>
      <c r="J329" s="100">
        <v>0</v>
      </c>
      <c r="K329" s="100">
        <v>0</v>
      </c>
      <c r="L329" s="100">
        <v>0</v>
      </c>
      <c r="M329" s="100">
        <v>0</v>
      </c>
      <c r="N329" s="202">
        <v>549</v>
      </c>
      <c r="O329" s="202">
        <v>1909</v>
      </c>
      <c r="P329" s="200">
        <f>SUM(D329:O329)</f>
        <v>2458</v>
      </c>
      <c r="Q329"/>
    </row>
    <row r="330" spans="1:17" ht="12.75" hidden="1" customHeight="1" x14ac:dyDescent="0.25">
      <c r="A330" s="16"/>
      <c r="B330" s="16"/>
      <c r="C330" s="16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6"/>
      <c r="Q330"/>
    </row>
    <row r="331" spans="1:17" ht="12.75" hidden="1" customHeight="1" thickBot="1" x14ac:dyDescent="0.3">
      <c r="A331"/>
      <c r="B331" s="18" t="s">
        <v>84</v>
      </c>
      <c r="C331" s="18"/>
      <c r="Q331"/>
    </row>
    <row r="332" spans="1:17" ht="12.75" hidden="1" customHeight="1" thickBot="1" x14ac:dyDescent="0.3">
      <c r="A332"/>
      <c r="B332" s="437" t="s">
        <v>1</v>
      </c>
      <c r="C332" s="438"/>
      <c r="D332" s="21">
        <v>1</v>
      </c>
      <c r="E332" s="22">
        <v>2</v>
      </c>
      <c r="F332" s="22">
        <v>3</v>
      </c>
      <c r="G332" s="22">
        <v>4</v>
      </c>
      <c r="H332" s="22">
        <v>5</v>
      </c>
      <c r="I332" s="22">
        <v>6</v>
      </c>
      <c r="J332" s="22">
        <v>7</v>
      </c>
      <c r="K332" s="22">
        <v>8</v>
      </c>
      <c r="L332" s="22">
        <v>9</v>
      </c>
      <c r="M332" s="22">
        <v>10</v>
      </c>
      <c r="N332" s="22">
        <v>11</v>
      </c>
      <c r="O332" s="22">
        <v>12</v>
      </c>
      <c r="P332" s="23" t="s">
        <v>0</v>
      </c>
      <c r="Q332"/>
    </row>
    <row r="333" spans="1:17" ht="12.75" hidden="1" customHeight="1" x14ac:dyDescent="0.25">
      <c r="A333"/>
      <c r="B333" s="445" t="s">
        <v>46</v>
      </c>
      <c r="C333" s="175" t="s">
        <v>21</v>
      </c>
      <c r="D333" s="39">
        <v>388</v>
      </c>
      <c r="E333" s="40">
        <v>255</v>
      </c>
      <c r="F333" s="39">
        <v>688</v>
      </c>
      <c r="G333" s="40">
        <v>548</v>
      </c>
      <c r="H333" s="40">
        <v>470</v>
      </c>
      <c r="I333" s="40">
        <v>657</v>
      </c>
      <c r="J333" s="40">
        <v>963</v>
      </c>
      <c r="K333" s="40">
        <v>740</v>
      </c>
      <c r="L333" s="40">
        <v>579</v>
      </c>
      <c r="M333" s="40">
        <v>544</v>
      </c>
      <c r="N333" s="40">
        <v>685</v>
      </c>
      <c r="O333" s="40">
        <v>979</v>
      </c>
      <c r="P333" s="41">
        <f t="shared" ref="P333:P341" si="83">SUM(D333:O333)</f>
        <v>7496</v>
      </c>
      <c r="Q333"/>
    </row>
    <row r="334" spans="1:17" ht="12.75" hidden="1" customHeight="1" x14ac:dyDescent="0.25">
      <c r="A334"/>
      <c r="B334" s="443"/>
      <c r="C334" s="176" t="s">
        <v>22</v>
      </c>
      <c r="D334" s="76">
        <v>5</v>
      </c>
      <c r="E334" s="77">
        <v>2</v>
      </c>
      <c r="F334" s="76">
        <v>20</v>
      </c>
      <c r="G334" s="77">
        <v>15</v>
      </c>
      <c r="H334" s="77">
        <v>19</v>
      </c>
      <c r="I334" s="77">
        <v>14</v>
      </c>
      <c r="J334" s="77">
        <v>12</v>
      </c>
      <c r="K334" s="77">
        <v>12</v>
      </c>
      <c r="L334" s="79">
        <v>15</v>
      </c>
      <c r="M334" s="77">
        <v>21</v>
      </c>
      <c r="N334" s="77">
        <v>41</v>
      </c>
      <c r="O334" s="77">
        <v>30</v>
      </c>
      <c r="P334" s="78">
        <f t="shared" si="83"/>
        <v>206</v>
      </c>
      <c r="Q334"/>
    </row>
    <row r="335" spans="1:17" ht="12.75" hidden="1" customHeight="1" x14ac:dyDescent="0.25">
      <c r="A335"/>
      <c r="B335" s="443"/>
      <c r="C335" s="176" t="s">
        <v>24</v>
      </c>
      <c r="D335" s="76">
        <v>5064</v>
      </c>
      <c r="E335" s="76">
        <v>7353</v>
      </c>
      <c r="F335" s="76">
        <v>7000</v>
      </c>
      <c r="G335" s="76">
        <v>8265</v>
      </c>
      <c r="H335" s="76">
        <v>7834</v>
      </c>
      <c r="I335" s="76">
        <v>6488</v>
      </c>
      <c r="J335" s="76">
        <v>7109</v>
      </c>
      <c r="K335" s="76">
        <v>7449</v>
      </c>
      <c r="L335" s="76">
        <v>7078</v>
      </c>
      <c r="M335" s="76">
        <v>6190</v>
      </c>
      <c r="N335" s="76">
        <v>7183</v>
      </c>
      <c r="O335" s="76">
        <v>6848</v>
      </c>
      <c r="P335" s="31">
        <f t="shared" si="83"/>
        <v>83861</v>
      </c>
      <c r="Q335"/>
    </row>
    <row r="336" spans="1:17" ht="12.75" hidden="1" customHeight="1" x14ac:dyDescent="0.25">
      <c r="A336"/>
      <c r="B336" s="443"/>
      <c r="C336" s="176" t="s">
        <v>69</v>
      </c>
      <c r="D336" s="76">
        <v>525</v>
      </c>
      <c r="E336" s="76">
        <v>545</v>
      </c>
      <c r="F336" s="76">
        <v>1116</v>
      </c>
      <c r="G336" s="76">
        <v>1055</v>
      </c>
      <c r="H336" s="76">
        <v>1009</v>
      </c>
      <c r="I336" s="76">
        <v>955</v>
      </c>
      <c r="J336" s="76">
        <v>1216</v>
      </c>
      <c r="K336" s="76">
        <v>1192</v>
      </c>
      <c r="L336" s="76">
        <v>1250</v>
      </c>
      <c r="M336" s="76">
        <v>989</v>
      </c>
      <c r="N336" s="76">
        <v>1385</v>
      </c>
      <c r="O336" s="76">
        <v>1162</v>
      </c>
      <c r="P336" s="27">
        <f t="shared" si="83"/>
        <v>12399</v>
      </c>
      <c r="Q336"/>
    </row>
    <row r="337" spans="1:17" ht="12.75" hidden="1" customHeight="1" x14ac:dyDescent="0.25">
      <c r="A337"/>
      <c r="B337" s="443"/>
      <c r="C337" s="177" t="s">
        <v>3</v>
      </c>
      <c r="D337" s="29">
        <v>84</v>
      </c>
      <c r="E337" s="30">
        <v>410</v>
      </c>
      <c r="F337" s="29">
        <v>620</v>
      </c>
      <c r="G337" s="30">
        <v>366</v>
      </c>
      <c r="H337" s="30">
        <v>361</v>
      </c>
      <c r="I337" s="30">
        <v>381</v>
      </c>
      <c r="J337" s="30">
        <v>520</v>
      </c>
      <c r="K337" s="30">
        <v>435</v>
      </c>
      <c r="L337" s="32">
        <v>429</v>
      </c>
      <c r="M337" s="30">
        <v>311</v>
      </c>
      <c r="N337" s="30">
        <v>430</v>
      </c>
      <c r="O337" s="30">
        <v>283</v>
      </c>
      <c r="P337" s="78">
        <f t="shared" si="83"/>
        <v>4630</v>
      </c>
      <c r="Q337"/>
    </row>
    <row r="338" spans="1:17" ht="12.75" hidden="1" customHeight="1" x14ac:dyDescent="0.25">
      <c r="A338"/>
      <c r="B338" s="443"/>
      <c r="C338" s="178" t="s">
        <v>25</v>
      </c>
      <c r="D338" s="74">
        <v>3997</v>
      </c>
      <c r="E338" s="74">
        <v>4440</v>
      </c>
      <c r="F338" s="74">
        <f>7240+338</f>
        <v>7578</v>
      </c>
      <c r="G338" s="74">
        <v>9127</v>
      </c>
      <c r="H338" s="74">
        <v>7597</v>
      </c>
      <c r="I338" s="74">
        <v>9298</v>
      </c>
      <c r="J338" s="74">
        <v>6685</v>
      </c>
      <c r="K338" s="74">
        <v>6424</v>
      </c>
      <c r="L338" s="74">
        <v>6424</v>
      </c>
      <c r="M338" s="74">
        <v>7355</v>
      </c>
      <c r="N338" s="74">
        <v>7459</v>
      </c>
      <c r="O338" s="74">
        <v>6319</v>
      </c>
      <c r="P338" s="78">
        <f t="shared" si="83"/>
        <v>82703</v>
      </c>
      <c r="Q338"/>
    </row>
    <row r="339" spans="1:17" ht="12.75" hidden="1" customHeight="1" x14ac:dyDescent="0.25">
      <c r="A339"/>
      <c r="B339" s="443"/>
      <c r="C339" s="178" t="s">
        <v>44</v>
      </c>
      <c r="D339" s="74">
        <v>8</v>
      </c>
      <c r="E339" s="74">
        <v>7</v>
      </c>
      <c r="F339" s="74">
        <v>12</v>
      </c>
      <c r="G339" s="74">
        <v>8</v>
      </c>
      <c r="H339" s="74">
        <v>53</v>
      </c>
      <c r="I339" s="74">
        <v>59</v>
      </c>
      <c r="J339" s="74">
        <v>35</v>
      </c>
      <c r="K339" s="74">
        <v>25</v>
      </c>
      <c r="L339" s="74">
        <v>26</v>
      </c>
      <c r="M339" s="74">
        <v>44</v>
      </c>
      <c r="N339" s="74">
        <v>21</v>
      </c>
      <c r="O339" s="74">
        <v>29</v>
      </c>
      <c r="P339" s="78">
        <f t="shared" si="83"/>
        <v>327</v>
      </c>
      <c r="Q339"/>
    </row>
    <row r="340" spans="1:17" ht="12.75" hidden="1" customHeight="1" x14ac:dyDescent="0.25">
      <c r="A340"/>
      <c r="B340" s="443"/>
      <c r="C340" s="179" t="s">
        <v>27</v>
      </c>
      <c r="D340" s="72">
        <v>10586</v>
      </c>
      <c r="E340" s="72">
        <v>10913</v>
      </c>
      <c r="F340" s="72">
        <f>8+44+13112+194</f>
        <v>13358</v>
      </c>
      <c r="G340" s="72">
        <v>12549</v>
      </c>
      <c r="H340" s="72">
        <v>12595</v>
      </c>
      <c r="I340" s="72">
        <v>12665</v>
      </c>
      <c r="J340" s="72">
        <v>12093</v>
      </c>
      <c r="K340" s="72">
        <v>8204</v>
      </c>
      <c r="L340" s="72">
        <v>11283</v>
      </c>
      <c r="M340" s="72">
        <v>8573</v>
      </c>
      <c r="N340" s="72">
        <v>10181</v>
      </c>
      <c r="O340" s="72">
        <v>9080</v>
      </c>
      <c r="P340" s="78">
        <f t="shared" si="83"/>
        <v>132080</v>
      </c>
      <c r="Q340"/>
    </row>
    <row r="341" spans="1:17" ht="12.75" hidden="1" customHeight="1" x14ac:dyDescent="0.25">
      <c r="A341"/>
      <c r="B341" s="443"/>
      <c r="C341" s="180" t="s">
        <v>56</v>
      </c>
      <c r="D341" s="127">
        <v>57</v>
      </c>
      <c r="E341" s="128">
        <v>25</v>
      </c>
      <c r="F341" s="128">
        <v>94</v>
      </c>
      <c r="G341" s="128">
        <v>48</v>
      </c>
      <c r="H341" s="128">
        <v>39</v>
      </c>
      <c r="I341" s="128">
        <v>39</v>
      </c>
      <c r="J341" s="128">
        <v>27</v>
      </c>
      <c r="K341" s="128">
        <v>22</v>
      </c>
      <c r="L341" s="128">
        <v>24</v>
      </c>
      <c r="M341" s="127">
        <v>24</v>
      </c>
      <c r="N341" s="127">
        <v>39</v>
      </c>
      <c r="O341" s="127">
        <v>52</v>
      </c>
      <c r="P341" s="78">
        <f t="shared" si="83"/>
        <v>490</v>
      </c>
      <c r="Q341"/>
    </row>
    <row r="342" spans="1:17" ht="12.75" hidden="1" customHeight="1" thickBot="1" x14ac:dyDescent="0.3">
      <c r="A342"/>
      <c r="B342" s="432"/>
      <c r="C342" s="181" t="s">
        <v>0</v>
      </c>
      <c r="D342" s="43">
        <f t="shared" ref="D342:P342" si="84">SUM(D333:D341)</f>
        <v>20714</v>
      </c>
      <c r="E342" s="43">
        <f t="shared" si="84"/>
        <v>23950</v>
      </c>
      <c r="F342" s="43">
        <f t="shared" si="84"/>
        <v>30486</v>
      </c>
      <c r="G342" s="43">
        <f t="shared" si="84"/>
        <v>31981</v>
      </c>
      <c r="H342" s="43">
        <f t="shared" si="84"/>
        <v>29977</v>
      </c>
      <c r="I342" s="43">
        <f t="shared" si="84"/>
        <v>30556</v>
      </c>
      <c r="J342" s="43">
        <f t="shared" si="84"/>
        <v>28660</v>
      </c>
      <c r="K342" s="43">
        <f t="shared" si="84"/>
        <v>24503</v>
      </c>
      <c r="L342" s="43">
        <f t="shared" si="84"/>
        <v>27108</v>
      </c>
      <c r="M342" s="43">
        <f t="shared" si="84"/>
        <v>24051</v>
      </c>
      <c r="N342" s="43">
        <f t="shared" si="84"/>
        <v>27424</v>
      </c>
      <c r="O342" s="43">
        <f t="shared" si="84"/>
        <v>24782</v>
      </c>
      <c r="P342" s="44">
        <f t="shared" si="84"/>
        <v>324192</v>
      </c>
      <c r="Q342"/>
    </row>
    <row r="343" spans="1:17" ht="12.75" hidden="1" customHeight="1" x14ac:dyDescent="0.25">
      <c r="A343"/>
      <c r="B343" s="441" t="s">
        <v>45</v>
      </c>
      <c r="C343" s="175" t="s">
        <v>115</v>
      </c>
      <c r="D343" s="39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3145</v>
      </c>
      <c r="K343" s="40">
        <v>4230</v>
      </c>
      <c r="L343" s="40">
        <v>5386</v>
      </c>
      <c r="M343" s="40">
        <v>3819</v>
      </c>
      <c r="N343" s="40">
        <v>4324</v>
      </c>
      <c r="O343" s="40">
        <v>2618</v>
      </c>
      <c r="P343" s="41">
        <f>SUM(D343:O343)</f>
        <v>23522</v>
      </c>
      <c r="Q343"/>
    </row>
    <row r="344" spans="1:17" ht="12.75" hidden="1" customHeight="1" x14ac:dyDescent="0.25">
      <c r="A344"/>
      <c r="B344" s="441"/>
      <c r="C344" s="182" t="s">
        <v>60</v>
      </c>
      <c r="D344" s="25">
        <v>2791</v>
      </c>
      <c r="E344" s="26">
        <v>3156</v>
      </c>
      <c r="F344" s="26">
        <v>3640</v>
      </c>
      <c r="G344" s="26">
        <v>3401</v>
      </c>
      <c r="H344" s="26">
        <v>4422</v>
      </c>
      <c r="I344" s="26">
        <v>4290</v>
      </c>
      <c r="J344" s="26">
        <v>4120</v>
      </c>
      <c r="K344" s="26">
        <v>4136</v>
      </c>
      <c r="L344" s="26">
        <v>4519</v>
      </c>
      <c r="M344" s="26">
        <v>3444</v>
      </c>
      <c r="N344" s="26">
        <v>4609</v>
      </c>
      <c r="O344" s="26">
        <v>3888</v>
      </c>
      <c r="P344" s="27">
        <f>SUM(D344:O344)</f>
        <v>46416</v>
      </c>
      <c r="Q344"/>
    </row>
    <row r="345" spans="1:17" ht="12.75" hidden="1" customHeight="1" x14ac:dyDescent="0.25">
      <c r="A345"/>
      <c r="B345" s="441"/>
      <c r="C345" s="177" t="s">
        <v>8</v>
      </c>
      <c r="D345" s="29">
        <v>3185</v>
      </c>
      <c r="E345" s="30">
        <v>5997</v>
      </c>
      <c r="F345" s="30">
        <v>5459</v>
      </c>
      <c r="G345" s="30">
        <v>3888</v>
      </c>
      <c r="H345" s="30">
        <v>4431</v>
      </c>
      <c r="I345" s="30">
        <v>4443</v>
      </c>
      <c r="J345" s="30">
        <v>3675</v>
      </c>
      <c r="K345" s="30">
        <v>4439</v>
      </c>
      <c r="L345" s="30">
        <v>3619</v>
      </c>
      <c r="M345" s="30">
        <v>3861</v>
      </c>
      <c r="N345" s="30">
        <v>4522</v>
      </c>
      <c r="O345" s="30">
        <v>4142</v>
      </c>
      <c r="P345" s="78">
        <f>SUM(D345:O345)</f>
        <v>51661</v>
      </c>
      <c r="Q345"/>
    </row>
    <row r="346" spans="1:17" ht="12.75" hidden="1" customHeight="1" x14ac:dyDescent="0.25">
      <c r="A346"/>
      <c r="B346" s="441"/>
      <c r="C346" s="177" t="s">
        <v>51</v>
      </c>
      <c r="D346" s="29">
        <v>678</v>
      </c>
      <c r="E346" s="30">
        <v>760</v>
      </c>
      <c r="F346" s="30">
        <v>828</v>
      </c>
      <c r="G346" s="30">
        <v>639</v>
      </c>
      <c r="H346" s="30">
        <v>570</v>
      </c>
      <c r="I346" s="30">
        <v>709</v>
      </c>
      <c r="J346" s="30">
        <v>542</v>
      </c>
      <c r="K346" s="30">
        <v>530</v>
      </c>
      <c r="L346" s="30">
        <v>585</v>
      </c>
      <c r="M346" s="30">
        <v>468</v>
      </c>
      <c r="N346" s="30">
        <v>320</v>
      </c>
      <c r="O346" s="30">
        <v>383</v>
      </c>
      <c r="P346" s="31">
        <f>SUM(D346:O346)</f>
        <v>7012</v>
      </c>
      <c r="Q346"/>
    </row>
    <row r="347" spans="1:17" ht="12.75" hidden="1" customHeight="1" thickBot="1" x14ac:dyDescent="0.3">
      <c r="A347"/>
      <c r="B347" s="444"/>
      <c r="C347" s="183" t="s">
        <v>0</v>
      </c>
      <c r="D347" s="36">
        <f t="shared" ref="D347:P347" si="85">SUM(D343:D346)</f>
        <v>6654</v>
      </c>
      <c r="E347" s="36">
        <f t="shared" si="85"/>
        <v>9913</v>
      </c>
      <c r="F347" s="36">
        <f t="shared" si="85"/>
        <v>9927</v>
      </c>
      <c r="G347" s="36">
        <f t="shared" si="85"/>
        <v>7928</v>
      </c>
      <c r="H347" s="36">
        <f t="shared" si="85"/>
        <v>9423</v>
      </c>
      <c r="I347" s="36">
        <f t="shared" si="85"/>
        <v>9442</v>
      </c>
      <c r="J347" s="36">
        <f t="shared" si="85"/>
        <v>11482</v>
      </c>
      <c r="K347" s="36">
        <f t="shared" si="85"/>
        <v>13335</v>
      </c>
      <c r="L347" s="36">
        <f t="shared" si="85"/>
        <v>14109</v>
      </c>
      <c r="M347" s="36">
        <f t="shared" si="85"/>
        <v>11592</v>
      </c>
      <c r="N347" s="36">
        <f t="shared" si="85"/>
        <v>13775</v>
      </c>
      <c r="O347" s="36">
        <f t="shared" si="85"/>
        <v>11031</v>
      </c>
      <c r="P347" s="37">
        <f t="shared" si="85"/>
        <v>128611</v>
      </c>
      <c r="Q347"/>
    </row>
    <row r="348" spans="1:17" ht="12.75" hidden="1" customHeight="1" x14ac:dyDescent="0.25">
      <c r="A348"/>
      <c r="B348" s="430" t="s">
        <v>9</v>
      </c>
      <c r="C348" s="175" t="s">
        <v>11</v>
      </c>
      <c r="D348" s="39">
        <v>3396</v>
      </c>
      <c r="E348" s="40">
        <v>3841</v>
      </c>
      <c r="F348" s="40">
        <v>4823</v>
      </c>
      <c r="G348" s="40">
        <v>4323</v>
      </c>
      <c r="H348" s="40">
        <v>3824</v>
      </c>
      <c r="I348" s="40">
        <v>4230</v>
      </c>
      <c r="J348" s="40">
        <v>3674</v>
      </c>
      <c r="K348" s="40">
        <v>3376</v>
      </c>
      <c r="L348" s="40">
        <v>3945</v>
      </c>
      <c r="M348" s="40">
        <v>3119</v>
      </c>
      <c r="N348" s="40">
        <v>4296</v>
      </c>
      <c r="O348" s="40">
        <v>2929</v>
      </c>
      <c r="P348" s="41">
        <f>SUM(D348:O348)</f>
        <v>45776</v>
      </c>
      <c r="Q348"/>
    </row>
    <row r="349" spans="1:17" ht="12.75" hidden="1" customHeight="1" x14ac:dyDescent="0.25">
      <c r="A349"/>
      <c r="B349" s="431"/>
      <c r="C349" s="182" t="s">
        <v>12</v>
      </c>
      <c r="D349" s="25">
        <v>7860</v>
      </c>
      <c r="E349" s="26">
        <v>7691</v>
      </c>
      <c r="F349" s="26">
        <v>9790</v>
      </c>
      <c r="G349" s="26">
        <v>8809</v>
      </c>
      <c r="H349" s="26">
        <v>10012</v>
      </c>
      <c r="I349" s="26">
        <v>10064</v>
      </c>
      <c r="J349" s="26">
        <v>8690</v>
      </c>
      <c r="K349" s="26">
        <v>6550</v>
      </c>
      <c r="L349" s="26">
        <v>7458</v>
      </c>
      <c r="M349" s="26">
        <v>7746</v>
      </c>
      <c r="N349" s="26">
        <v>9601</v>
      </c>
      <c r="O349" s="26">
        <v>7152</v>
      </c>
      <c r="P349" s="27">
        <f>SUM(D349:O349)</f>
        <v>101423</v>
      </c>
      <c r="Q349"/>
    </row>
    <row r="350" spans="1:17" ht="12.75" hidden="1" customHeight="1" thickBot="1" x14ac:dyDescent="0.3">
      <c r="A350"/>
      <c r="B350" s="432"/>
      <c r="C350" s="181" t="s">
        <v>0</v>
      </c>
      <c r="D350" s="43">
        <f t="shared" ref="D350:L350" si="86">SUM(D348:D349)</f>
        <v>11256</v>
      </c>
      <c r="E350" s="43">
        <f t="shared" si="86"/>
        <v>11532</v>
      </c>
      <c r="F350" s="43">
        <f t="shared" si="86"/>
        <v>14613</v>
      </c>
      <c r="G350" s="43">
        <f t="shared" si="86"/>
        <v>13132</v>
      </c>
      <c r="H350" s="43">
        <f t="shared" si="86"/>
        <v>13836</v>
      </c>
      <c r="I350" s="43">
        <f t="shared" si="86"/>
        <v>14294</v>
      </c>
      <c r="J350" s="43">
        <f t="shared" si="86"/>
        <v>12364</v>
      </c>
      <c r="K350" s="43">
        <f t="shared" si="86"/>
        <v>9926</v>
      </c>
      <c r="L350" s="43">
        <f t="shared" si="86"/>
        <v>11403</v>
      </c>
      <c r="M350" s="43">
        <f>SUM(M348:M349)</f>
        <v>10865</v>
      </c>
      <c r="N350" s="43">
        <f>SUM(N348:N349)</f>
        <v>13897</v>
      </c>
      <c r="O350" s="43">
        <f>SUM(O348:O349)</f>
        <v>10081</v>
      </c>
      <c r="P350" s="44">
        <f>SUM(P348:P349)</f>
        <v>147199</v>
      </c>
      <c r="Q350"/>
    </row>
    <row r="351" spans="1:17" ht="12.75" hidden="1" customHeight="1" x14ac:dyDescent="0.25">
      <c r="A351"/>
      <c r="B351" s="430" t="s">
        <v>10</v>
      </c>
      <c r="C351" s="175" t="s">
        <v>13</v>
      </c>
      <c r="D351" s="39">
        <v>592</v>
      </c>
      <c r="E351" s="40">
        <v>898</v>
      </c>
      <c r="F351" s="40">
        <v>884</v>
      </c>
      <c r="G351" s="40">
        <v>821</v>
      </c>
      <c r="H351" s="40">
        <v>734</v>
      </c>
      <c r="I351" s="40">
        <v>777</v>
      </c>
      <c r="J351" s="40">
        <v>759</v>
      </c>
      <c r="K351" s="40">
        <v>614</v>
      </c>
      <c r="L351" s="40">
        <v>744</v>
      </c>
      <c r="M351" s="40">
        <v>645</v>
      </c>
      <c r="N351" s="40">
        <v>747</v>
      </c>
      <c r="O351" s="40">
        <v>591</v>
      </c>
      <c r="P351" s="41">
        <f>SUM(D351:O351)</f>
        <v>8806</v>
      </c>
      <c r="Q351"/>
    </row>
    <row r="352" spans="1:17" ht="12.75" hidden="1" customHeight="1" x14ac:dyDescent="0.25">
      <c r="A352"/>
      <c r="B352" s="431"/>
      <c r="C352" s="182" t="s">
        <v>14</v>
      </c>
      <c r="D352" s="25">
        <v>1689</v>
      </c>
      <c r="E352" s="26">
        <v>2032</v>
      </c>
      <c r="F352" s="26">
        <v>2413</v>
      </c>
      <c r="G352" s="26">
        <v>2259</v>
      </c>
      <c r="H352" s="26">
        <v>2217</v>
      </c>
      <c r="I352" s="26">
        <v>2140</v>
      </c>
      <c r="J352" s="26">
        <v>2095</v>
      </c>
      <c r="K352" s="26">
        <v>1897</v>
      </c>
      <c r="L352" s="26">
        <v>2056</v>
      </c>
      <c r="M352" s="26">
        <v>1596</v>
      </c>
      <c r="N352" s="26">
        <v>1765</v>
      </c>
      <c r="O352" s="26">
        <v>1356</v>
      </c>
      <c r="P352" s="27">
        <f>SUM(D352:O352)</f>
        <v>23515</v>
      </c>
      <c r="Q352"/>
    </row>
    <row r="353" spans="1:17" ht="12.75" hidden="1" customHeight="1" thickBot="1" x14ac:dyDescent="0.3">
      <c r="A353"/>
      <c r="B353" s="432"/>
      <c r="C353" s="181" t="s">
        <v>0</v>
      </c>
      <c r="D353" s="43">
        <f t="shared" ref="D353:I353" si="87">SUM(D351:D352)</f>
        <v>2281</v>
      </c>
      <c r="E353" s="43">
        <f t="shared" si="87"/>
        <v>2930</v>
      </c>
      <c r="F353" s="43">
        <f t="shared" si="87"/>
        <v>3297</v>
      </c>
      <c r="G353" s="43">
        <f t="shared" si="87"/>
        <v>3080</v>
      </c>
      <c r="H353" s="43">
        <f t="shared" si="87"/>
        <v>2951</v>
      </c>
      <c r="I353" s="43">
        <f t="shared" si="87"/>
        <v>2917</v>
      </c>
      <c r="J353" s="43">
        <f t="shared" ref="J353:P353" si="88">SUM(J351:J352)</f>
        <v>2854</v>
      </c>
      <c r="K353" s="43">
        <f t="shared" si="88"/>
        <v>2511</v>
      </c>
      <c r="L353" s="43">
        <f t="shared" si="88"/>
        <v>2800</v>
      </c>
      <c r="M353" s="43">
        <f t="shared" si="88"/>
        <v>2241</v>
      </c>
      <c r="N353" s="43">
        <f t="shared" si="88"/>
        <v>2512</v>
      </c>
      <c r="O353" s="43">
        <f t="shared" si="88"/>
        <v>1947</v>
      </c>
      <c r="P353" s="44">
        <f t="shared" si="88"/>
        <v>32321</v>
      </c>
      <c r="Q353"/>
    </row>
    <row r="354" spans="1:17" ht="4.5" hidden="1" customHeight="1" x14ac:dyDescent="0.25">
      <c r="A354"/>
      <c r="B354" s="449" t="s">
        <v>4</v>
      </c>
      <c r="C354" s="184" t="s">
        <v>117</v>
      </c>
      <c r="D354" s="156">
        <v>0</v>
      </c>
      <c r="E354" s="156">
        <v>0</v>
      </c>
      <c r="F354" s="156">
        <v>0</v>
      </c>
      <c r="G354" s="156">
        <v>0</v>
      </c>
      <c r="H354" s="156">
        <v>0</v>
      </c>
      <c r="I354" s="156">
        <v>0</v>
      </c>
      <c r="J354" s="156">
        <v>0</v>
      </c>
      <c r="K354" s="156">
        <v>0</v>
      </c>
      <c r="L354" s="156">
        <v>386</v>
      </c>
      <c r="M354" s="156">
        <v>958</v>
      </c>
      <c r="N354" s="156">
        <v>1591</v>
      </c>
      <c r="O354" s="156">
        <v>1619</v>
      </c>
      <c r="P354" s="157">
        <f>SUM(D354:O354)</f>
        <v>4554</v>
      </c>
      <c r="Q354"/>
    </row>
    <row r="355" spans="1:17" hidden="1" x14ac:dyDescent="0.25">
      <c r="A355"/>
      <c r="B355" s="450"/>
      <c r="C355" s="185" t="s">
        <v>118</v>
      </c>
      <c r="D355" s="132">
        <v>3569</v>
      </c>
      <c r="E355" s="132">
        <v>3578</v>
      </c>
      <c r="F355" s="132">
        <v>4048</v>
      </c>
      <c r="G355" s="132">
        <v>3307</v>
      </c>
      <c r="H355" s="132">
        <v>3051</v>
      </c>
      <c r="I355" s="132">
        <v>3425</v>
      </c>
      <c r="J355" s="132">
        <v>3248</v>
      </c>
      <c r="K355" s="132">
        <v>3298</v>
      </c>
      <c r="L355" s="132">
        <v>2857</v>
      </c>
      <c r="M355" s="132">
        <v>2531</v>
      </c>
      <c r="N355" s="132">
        <v>3758</v>
      </c>
      <c r="O355" s="132">
        <v>3092</v>
      </c>
      <c r="P355" s="133">
        <f>SUM(D355:O355)</f>
        <v>39762</v>
      </c>
    </row>
    <row r="356" spans="1:17" ht="9.75" hidden="1" customHeight="1" x14ac:dyDescent="0.25">
      <c r="A356"/>
      <c r="B356" s="450"/>
      <c r="C356" s="177" t="s">
        <v>65</v>
      </c>
      <c r="D356" s="29">
        <v>626</v>
      </c>
      <c r="E356" s="30">
        <v>1210</v>
      </c>
      <c r="F356" s="30">
        <v>1394</v>
      </c>
      <c r="G356" s="30">
        <v>933</v>
      </c>
      <c r="H356" s="30">
        <v>1369</v>
      </c>
      <c r="I356" s="30">
        <v>1203</v>
      </c>
      <c r="J356" s="30">
        <v>1006</v>
      </c>
      <c r="K356" s="30">
        <v>987</v>
      </c>
      <c r="L356" s="30">
        <v>1051</v>
      </c>
      <c r="M356" s="30">
        <v>774</v>
      </c>
      <c r="N356" s="30">
        <v>938</v>
      </c>
      <c r="O356" s="30">
        <v>809</v>
      </c>
      <c r="P356" s="31">
        <f>SUM(D356:O356)</f>
        <v>12300</v>
      </c>
    </row>
    <row r="357" spans="1:17" ht="9.75" hidden="1" customHeight="1" thickBot="1" x14ac:dyDescent="0.3">
      <c r="A357"/>
      <c r="B357" s="451"/>
      <c r="C357" s="42" t="s">
        <v>0</v>
      </c>
      <c r="D357" s="43">
        <f>SUM(D354:D356)</f>
        <v>4195</v>
      </c>
      <c r="E357" s="43">
        <f t="shared" ref="E357:P357" si="89">SUM(E354:E356)</f>
        <v>4788</v>
      </c>
      <c r="F357" s="43">
        <f t="shared" si="89"/>
        <v>5442</v>
      </c>
      <c r="G357" s="43">
        <f t="shared" si="89"/>
        <v>4240</v>
      </c>
      <c r="H357" s="43">
        <f t="shared" si="89"/>
        <v>4420</v>
      </c>
      <c r="I357" s="43">
        <f t="shared" si="89"/>
        <v>4628</v>
      </c>
      <c r="J357" s="43">
        <f t="shared" si="89"/>
        <v>4254</v>
      </c>
      <c r="K357" s="43">
        <f t="shared" si="89"/>
        <v>4285</v>
      </c>
      <c r="L357" s="43">
        <f t="shared" si="89"/>
        <v>4294</v>
      </c>
      <c r="M357" s="43">
        <f t="shared" si="89"/>
        <v>4263</v>
      </c>
      <c r="N357" s="43">
        <f t="shared" si="89"/>
        <v>6287</v>
      </c>
      <c r="O357" s="43">
        <f t="shared" si="89"/>
        <v>5520</v>
      </c>
      <c r="P357" s="43">
        <f t="shared" si="89"/>
        <v>56616</v>
      </c>
    </row>
    <row r="358" spans="1:17" ht="9.9" hidden="1" customHeight="1" thickBot="1" x14ac:dyDescent="0.3">
      <c r="A358"/>
      <c r="B358" s="435" t="s">
        <v>2</v>
      </c>
      <c r="C358" s="436"/>
      <c r="D358" s="45">
        <f t="shared" ref="D358:O358" si="90">D342+D347+D353+D350+D357</f>
        <v>45100</v>
      </c>
      <c r="E358" s="45">
        <f t="shared" si="90"/>
        <v>53113</v>
      </c>
      <c r="F358" s="45">
        <f t="shared" si="90"/>
        <v>63765</v>
      </c>
      <c r="G358" s="45">
        <f t="shared" si="90"/>
        <v>60361</v>
      </c>
      <c r="H358" s="45">
        <f t="shared" si="90"/>
        <v>60607</v>
      </c>
      <c r="I358" s="45">
        <f t="shared" si="90"/>
        <v>61837</v>
      </c>
      <c r="J358" s="45">
        <f t="shared" si="90"/>
        <v>59614</v>
      </c>
      <c r="K358" s="45">
        <f t="shared" si="90"/>
        <v>54560</v>
      </c>
      <c r="L358" s="45">
        <f t="shared" si="90"/>
        <v>59714</v>
      </c>
      <c r="M358" s="45">
        <f t="shared" si="90"/>
        <v>53012</v>
      </c>
      <c r="N358" s="45">
        <f t="shared" si="90"/>
        <v>63895</v>
      </c>
      <c r="O358" s="45">
        <f t="shared" si="90"/>
        <v>53361</v>
      </c>
      <c r="P358" s="45">
        <f>SUM(P342,P347,P357,P350,P353)</f>
        <v>688939</v>
      </c>
    </row>
    <row r="359" spans="1:17" ht="9.9" hidden="1" customHeight="1" x14ac:dyDescent="0.25">
      <c r="A359"/>
      <c r="J359" s="116"/>
    </row>
    <row r="360" spans="1:17" ht="4.5" hidden="1" customHeight="1" x14ac:dyDescent="0.25">
      <c r="A360"/>
      <c r="B360" s="82" t="s">
        <v>27</v>
      </c>
      <c r="C360" s="83"/>
      <c r="D360" s="84">
        <f t="shared" ref="D360:P360" si="91">SUM(D361:D364)</f>
        <v>10586</v>
      </c>
      <c r="E360" s="84">
        <f t="shared" si="91"/>
        <v>10913</v>
      </c>
      <c r="F360" s="84">
        <f t="shared" si="91"/>
        <v>13358</v>
      </c>
      <c r="G360" s="84">
        <f t="shared" si="91"/>
        <v>12549</v>
      </c>
      <c r="H360" s="84">
        <f t="shared" si="91"/>
        <v>12595</v>
      </c>
      <c r="I360" s="84">
        <f t="shared" si="91"/>
        <v>12665</v>
      </c>
      <c r="J360" s="84">
        <f t="shared" si="91"/>
        <v>12093</v>
      </c>
      <c r="K360" s="84">
        <f t="shared" si="91"/>
        <v>8204</v>
      </c>
      <c r="L360" s="84">
        <f t="shared" si="91"/>
        <v>11283</v>
      </c>
      <c r="M360" s="84">
        <f t="shared" si="91"/>
        <v>8573</v>
      </c>
      <c r="N360" s="84">
        <f t="shared" si="91"/>
        <v>10181</v>
      </c>
      <c r="O360" s="84">
        <f t="shared" si="91"/>
        <v>9080</v>
      </c>
      <c r="P360" s="84">
        <f t="shared" si="91"/>
        <v>132080</v>
      </c>
      <c r="Q360"/>
    </row>
    <row r="361" spans="1:17" hidden="1" x14ac:dyDescent="0.25">
      <c r="A361"/>
      <c r="B361" s="86"/>
      <c r="C361" s="148" t="s">
        <v>80</v>
      </c>
      <c r="D361" s="149">
        <v>9414</v>
      </c>
      <c r="E361" s="149">
        <v>9990</v>
      </c>
      <c r="F361" s="150">
        <v>13112</v>
      </c>
      <c r="G361" s="151">
        <v>11503</v>
      </c>
      <c r="H361" s="150">
        <v>10750</v>
      </c>
      <c r="I361" s="152">
        <v>10194</v>
      </c>
      <c r="J361" s="152">
        <v>9916</v>
      </c>
      <c r="K361" s="150">
        <v>6609</v>
      </c>
      <c r="L361" s="150">
        <v>8949</v>
      </c>
      <c r="M361" s="150">
        <v>6346</v>
      </c>
      <c r="N361" s="150">
        <v>7879</v>
      </c>
      <c r="O361" s="150">
        <v>7194</v>
      </c>
      <c r="P361" s="153">
        <f>SUM(D361:O361)</f>
        <v>111856</v>
      </c>
    </row>
    <row r="362" spans="1:17" ht="9.9" hidden="1" customHeight="1" x14ac:dyDescent="0.25">
      <c r="A362"/>
      <c r="B362" s="86"/>
      <c r="C362" s="154" t="s">
        <v>86</v>
      </c>
      <c r="D362" s="100">
        <v>0</v>
      </c>
      <c r="E362" s="100">
        <v>0</v>
      </c>
      <c r="F362" s="88">
        <v>194</v>
      </c>
      <c r="G362" s="101">
        <v>1045</v>
      </c>
      <c r="H362" s="88">
        <v>1845</v>
      </c>
      <c r="I362" s="98">
        <v>2471</v>
      </c>
      <c r="J362" s="99">
        <v>2177</v>
      </c>
      <c r="K362" s="91">
        <v>1595</v>
      </c>
      <c r="L362" s="91">
        <v>2334</v>
      </c>
      <c r="M362" s="91">
        <v>2227</v>
      </c>
      <c r="N362" s="91">
        <v>2302</v>
      </c>
      <c r="O362" s="91">
        <v>1886</v>
      </c>
      <c r="P362" s="89">
        <f>SUM(D362:O362)</f>
        <v>18076</v>
      </c>
    </row>
    <row r="363" spans="1:17" ht="9.9" hidden="1" customHeight="1" x14ac:dyDescent="0.25">
      <c r="A363"/>
      <c r="B363" s="86"/>
      <c r="C363" s="87" t="s">
        <v>52</v>
      </c>
      <c r="D363" s="100">
        <v>961</v>
      </c>
      <c r="E363" s="100">
        <v>764</v>
      </c>
      <c r="F363" s="88">
        <v>8</v>
      </c>
      <c r="G363" s="101">
        <v>0</v>
      </c>
      <c r="H363" s="88">
        <v>0</v>
      </c>
      <c r="I363" s="98">
        <v>0</v>
      </c>
      <c r="J363" s="98"/>
      <c r="K363" s="88">
        <v>0</v>
      </c>
      <c r="L363" s="88">
        <v>0</v>
      </c>
      <c r="M363" s="88"/>
      <c r="N363" s="88"/>
      <c r="O363" s="88">
        <v>0</v>
      </c>
      <c r="P363" s="89">
        <f>SUM(D363:O363)</f>
        <v>1733</v>
      </c>
    </row>
    <row r="364" spans="1:17" ht="9.9" hidden="1" customHeight="1" x14ac:dyDescent="0.25">
      <c r="A364"/>
      <c r="B364" s="90"/>
      <c r="C364" s="154" t="s">
        <v>85</v>
      </c>
      <c r="D364" s="100">
        <v>211</v>
      </c>
      <c r="E364" s="100">
        <v>159</v>
      </c>
      <c r="F364" s="88">
        <v>44</v>
      </c>
      <c r="G364" s="101">
        <v>1</v>
      </c>
      <c r="H364" s="88">
        <v>0</v>
      </c>
      <c r="I364" s="98">
        <v>0</v>
      </c>
      <c r="J364" s="98"/>
      <c r="K364" s="88">
        <v>0</v>
      </c>
      <c r="L364" s="88">
        <v>0</v>
      </c>
      <c r="M364" s="88"/>
      <c r="N364" s="88"/>
      <c r="O364" s="88">
        <v>0</v>
      </c>
      <c r="P364" s="89">
        <f>SUM(D364:O364)</f>
        <v>415</v>
      </c>
    </row>
    <row r="365" spans="1:17" ht="6" hidden="1" customHeight="1" x14ac:dyDescent="0.25">
      <c r="A365"/>
      <c r="J365" s="116"/>
    </row>
    <row r="366" spans="1:17" hidden="1" x14ac:dyDescent="0.25">
      <c r="A366"/>
      <c r="B366" s="93" t="s">
        <v>25</v>
      </c>
      <c r="C366" s="94"/>
      <c r="D366" s="84">
        <f t="shared" ref="D366:P366" si="92">SUM(D367:D369)</f>
        <v>3997</v>
      </c>
      <c r="E366" s="84">
        <f t="shared" si="92"/>
        <v>4440</v>
      </c>
      <c r="F366" s="84">
        <f t="shared" si="92"/>
        <v>7578</v>
      </c>
      <c r="G366" s="84">
        <f t="shared" si="92"/>
        <v>9127</v>
      </c>
      <c r="H366" s="84">
        <f t="shared" si="92"/>
        <v>7597</v>
      </c>
      <c r="I366" s="84">
        <f t="shared" si="92"/>
        <v>9298</v>
      </c>
      <c r="J366" s="84">
        <f t="shared" si="92"/>
        <v>6685</v>
      </c>
      <c r="K366" s="84">
        <f t="shared" si="92"/>
        <v>6424</v>
      </c>
      <c r="L366" s="84">
        <f t="shared" si="92"/>
        <v>6424</v>
      </c>
      <c r="M366" s="84">
        <f t="shared" si="92"/>
        <v>7355</v>
      </c>
      <c r="N366" s="84">
        <f t="shared" si="92"/>
        <v>7459</v>
      </c>
      <c r="O366" s="84">
        <f t="shared" si="92"/>
        <v>6319</v>
      </c>
      <c r="P366" s="84">
        <f t="shared" si="92"/>
        <v>82703</v>
      </c>
    </row>
    <row r="367" spans="1:17" ht="9.9" hidden="1" customHeight="1" x14ac:dyDescent="0.25">
      <c r="A367"/>
      <c r="B367" s="86"/>
      <c r="C367" s="87" t="s">
        <v>26</v>
      </c>
      <c r="D367" s="88">
        <v>0</v>
      </c>
      <c r="E367" s="88">
        <v>0</v>
      </c>
      <c r="F367" s="88">
        <v>0</v>
      </c>
      <c r="G367" s="88">
        <v>0</v>
      </c>
      <c r="H367" s="88">
        <v>0</v>
      </c>
      <c r="I367" s="88"/>
      <c r="J367" s="88"/>
      <c r="K367" s="88"/>
      <c r="L367" s="88"/>
      <c r="M367" s="88"/>
      <c r="N367" s="88"/>
      <c r="O367" s="88"/>
      <c r="P367" s="89">
        <f>SUM(D367:O367)</f>
        <v>0</v>
      </c>
    </row>
    <row r="368" spans="1:17" ht="9.9" hidden="1" customHeight="1" x14ac:dyDescent="0.25">
      <c r="A368"/>
      <c r="B368" s="86"/>
      <c r="C368" s="87" t="s">
        <v>53</v>
      </c>
      <c r="D368" s="123">
        <v>3769</v>
      </c>
      <c r="E368" s="123">
        <v>4104</v>
      </c>
      <c r="F368" s="123">
        <v>7240</v>
      </c>
      <c r="G368" s="88">
        <v>8748</v>
      </c>
      <c r="H368" s="88">
        <v>7227</v>
      </c>
      <c r="I368" s="88">
        <v>8566</v>
      </c>
      <c r="J368" s="88">
        <v>6072</v>
      </c>
      <c r="K368" s="88">
        <v>5971</v>
      </c>
      <c r="L368" s="88">
        <v>5980</v>
      </c>
      <c r="M368" s="88">
        <v>7039</v>
      </c>
      <c r="N368" s="88">
        <v>6807</v>
      </c>
      <c r="O368" s="88">
        <v>5708</v>
      </c>
      <c r="P368" s="89">
        <f>SUM(D368:O368)</f>
        <v>77231</v>
      </c>
    </row>
    <row r="369" spans="1:18" s="16" customFormat="1" ht="12" hidden="1" customHeight="1" x14ac:dyDescent="0.25">
      <c r="A369"/>
      <c r="B369" s="90"/>
      <c r="C369" s="129" t="s">
        <v>57</v>
      </c>
      <c r="D369" s="123">
        <v>228</v>
      </c>
      <c r="E369" s="123">
        <v>336</v>
      </c>
      <c r="F369" s="123">
        <v>338</v>
      </c>
      <c r="G369" s="123">
        <v>379</v>
      </c>
      <c r="H369" s="123">
        <v>370</v>
      </c>
      <c r="I369" s="123">
        <v>732</v>
      </c>
      <c r="J369" s="123">
        <v>613</v>
      </c>
      <c r="K369" s="123">
        <v>453</v>
      </c>
      <c r="L369" s="123">
        <v>444</v>
      </c>
      <c r="M369" s="123">
        <v>316</v>
      </c>
      <c r="N369" s="123">
        <v>652</v>
      </c>
      <c r="O369" s="91">
        <v>611</v>
      </c>
      <c r="P369" s="89">
        <f>SUM(D369:O369)</f>
        <v>5472</v>
      </c>
      <c r="Q369" s="113"/>
    </row>
    <row r="370" spans="1:18" ht="14.25" hidden="1" customHeight="1" x14ac:dyDescent="0.25">
      <c r="A370"/>
      <c r="B370" s="102"/>
      <c r="C370" s="95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7"/>
    </row>
    <row r="371" spans="1:18" ht="12.75" hidden="1" customHeight="1" x14ac:dyDescent="0.25">
      <c r="A371"/>
      <c r="B371" s="82" t="s">
        <v>69</v>
      </c>
      <c r="C371" s="83"/>
      <c r="D371" s="84">
        <f t="shared" ref="D371:P371" si="93">SUM(D372:D373)</f>
        <v>525</v>
      </c>
      <c r="E371" s="84">
        <f t="shared" si="93"/>
        <v>545</v>
      </c>
      <c r="F371" s="84">
        <f t="shared" si="93"/>
        <v>1116</v>
      </c>
      <c r="G371" s="84">
        <f t="shared" si="93"/>
        <v>1055</v>
      </c>
      <c r="H371" s="84">
        <f t="shared" si="93"/>
        <v>1009</v>
      </c>
      <c r="I371" s="84">
        <f t="shared" si="93"/>
        <v>955</v>
      </c>
      <c r="J371" s="84">
        <f t="shared" si="93"/>
        <v>1216</v>
      </c>
      <c r="K371" s="84">
        <f t="shared" si="93"/>
        <v>1192</v>
      </c>
      <c r="L371" s="84">
        <f t="shared" si="93"/>
        <v>1250</v>
      </c>
      <c r="M371" s="84">
        <f t="shared" si="93"/>
        <v>989</v>
      </c>
      <c r="N371" s="84">
        <f t="shared" si="93"/>
        <v>1385</v>
      </c>
      <c r="O371" s="84">
        <f t="shared" si="93"/>
        <v>1162</v>
      </c>
      <c r="P371" s="85">
        <f t="shared" si="93"/>
        <v>12399</v>
      </c>
    </row>
    <row r="372" spans="1:18" ht="12.75" hidden="1" customHeight="1" x14ac:dyDescent="0.25">
      <c r="A372"/>
      <c r="B372" s="86"/>
      <c r="C372" s="87" t="s">
        <v>75</v>
      </c>
      <c r="D372" s="100">
        <v>255</v>
      </c>
      <c r="E372" s="100">
        <v>304</v>
      </c>
      <c r="F372" s="88">
        <v>732</v>
      </c>
      <c r="G372" s="101">
        <v>607</v>
      </c>
      <c r="H372" s="88">
        <v>517</v>
      </c>
      <c r="I372" s="98">
        <v>524</v>
      </c>
      <c r="J372" s="98">
        <v>810</v>
      </c>
      <c r="K372" s="88">
        <v>959</v>
      </c>
      <c r="L372" s="88">
        <v>846</v>
      </c>
      <c r="M372" s="88">
        <v>649</v>
      </c>
      <c r="N372" s="88">
        <v>961</v>
      </c>
      <c r="O372" s="88">
        <v>768</v>
      </c>
      <c r="P372" s="89">
        <f>SUM(D372:O372)</f>
        <v>7932</v>
      </c>
      <c r="Q372"/>
    </row>
    <row r="373" spans="1:18" ht="12.75" hidden="1" customHeight="1" x14ac:dyDescent="0.25">
      <c r="A373"/>
      <c r="B373" s="90"/>
      <c r="C373" s="87" t="s">
        <v>23</v>
      </c>
      <c r="D373" s="100">
        <v>270</v>
      </c>
      <c r="E373" s="100">
        <v>241</v>
      </c>
      <c r="F373" s="88">
        <v>384</v>
      </c>
      <c r="G373" s="101">
        <v>448</v>
      </c>
      <c r="H373" s="88">
        <v>492</v>
      </c>
      <c r="I373" s="98">
        <v>431</v>
      </c>
      <c r="J373" s="99">
        <v>406</v>
      </c>
      <c r="K373" s="91">
        <v>233</v>
      </c>
      <c r="L373" s="91">
        <v>404</v>
      </c>
      <c r="M373" s="91">
        <v>340</v>
      </c>
      <c r="N373" s="91">
        <v>424</v>
      </c>
      <c r="O373" s="91">
        <v>394</v>
      </c>
      <c r="P373" s="89">
        <f>SUM(D373:O373)</f>
        <v>4467</v>
      </c>
      <c r="Q373"/>
    </row>
    <row r="374" spans="1:18" ht="12.75" hidden="1" customHeight="1" x14ac:dyDescent="0.25">
      <c r="A374" s="16"/>
      <c r="B374" s="16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6"/>
      <c r="Q374"/>
    </row>
    <row r="375" spans="1:18" ht="12.75" hidden="1" customHeight="1" thickBot="1" x14ac:dyDescent="0.3">
      <c r="A375"/>
      <c r="B375" s="18" t="s">
        <v>68</v>
      </c>
      <c r="C375" s="18"/>
      <c r="Q375"/>
    </row>
    <row r="376" spans="1:18" ht="12.75" hidden="1" customHeight="1" thickBot="1" x14ac:dyDescent="0.3">
      <c r="A376"/>
      <c r="B376" s="446" t="s">
        <v>87</v>
      </c>
      <c r="C376" s="447"/>
      <c r="D376" s="21">
        <v>1</v>
      </c>
      <c r="E376" s="22">
        <v>2</v>
      </c>
      <c r="F376" s="22">
        <v>3</v>
      </c>
      <c r="G376" s="22">
        <v>4</v>
      </c>
      <c r="H376" s="22">
        <v>5</v>
      </c>
      <c r="I376" s="22">
        <v>6</v>
      </c>
      <c r="J376" s="22">
        <v>7</v>
      </c>
      <c r="K376" s="22">
        <v>8</v>
      </c>
      <c r="L376" s="22">
        <v>9</v>
      </c>
      <c r="M376" s="22">
        <v>10</v>
      </c>
      <c r="N376" s="22">
        <v>11</v>
      </c>
      <c r="O376" s="22">
        <v>12</v>
      </c>
      <c r="P376" s="23" t="s">
        <v>88</v>
      </c>
      <c r="Q376"/>
    </row>
    <row r="377" spans="1:18" ht="12.75" hidden="1" customHeight="1" x14ac:dyDescent="0.25">
      <c r="A377"/>
      <c r="B377" s="445" t="s">
        <v>89</v>
      </c>
      <c r="C377" s="38" t="s">
        <v>90</v>
      </c>
      <c r="D377" s="39">
        <v>1016</v>
      </c>
      <c r="E377" s="40">
        <v>1047</v>
      </c>
      <c r="F377" s="39">
        <v>1735</v>
      </c>
      <c r="G377" s="40">
        <v>1351</v>
      </c>
      <c r="H377" s="40">
        <v>1292</v>
      </c>
      <c r="I377" s="40">
        <v>1576</v>
      </c>
      <c r="J377" s="40">
        <v>827</v>
      </c>
      <c r="K377" s="40">
        <v>860</v>
      </c>
      <c r="L377" s="40">
        <v>687</v>
      </c>
      <c r="M377" s="40">
        <v>824</v>
      </c>
      <c r="N377" s="40">
        <v>684</v>
      </c>
      <c r="O377" s="40">
        <v>537</v>
      </c>
      <c r="P377" s="41">
        <f t="shared" ref="P377:P387" si="94">SUM(D377:O377)</f>
        <v>12436</v>
      </c>
      <c r="Q377"/>
    </row>
    <row r="378" spans="1:18" ht="12.75" hidden="1" customHeight="1" x14ac:dyDescent="0.25">
      <c r="A378"/>
      <c r="B378" s="443"/>
      <c r="C378" s="75" t="s">
        <v>91</v>
      </c>
      <c r="D378" s="76">
        <v>56</v>
      </c>
      <c r="E378" s="77">
        <v>67</v>
      </c>
      <c r="F378" s="76">
        <v>85</v>
      </c>
      <c r="G378" s="77">
        <v>94</v>
      </c>
      <c r="H378" s="77">
        <v>46</v>
      </c>
      <c r="I378" s="77">
        <v>83</v>
      </c>
      <c r="J378" s="77">
        <v>36</v>
      </c>
      <c r="K378" s="77">
        <v>38</v>
      </c>
      <c r="L378" s="79">
        <v>25</v>
      </c>
      <c r="M378" s="77">
        <v>47</v>
      </c>
      <c r="N378" s="77">
        <v>33</v>
      </c>
      <c r="O378" s="77">
        <v>25</v>
      </c>
      <c r="P378" s="78">
        <f t="shared" si="94"/>
        <v>635</v>
      </c>
      <c r="Q378"/>
    </row>
    <row r="379" spans="1:18" ht="12.75" hidden="1" customHeight="1" x14ac:dyDescent="0.25">
      <c r="A379"/>
      <c r="B379" s="443"/>
      <c r="C379" s="75" t="s">
        <v>92</v>
      </c>
      <c r="D379" s="76">
        <v>6996</v>
      </c>
      <c r="E379" s="76">
        <v>7932</v>
      </c>
      <c r="F379" s="76">
        <v>8753</v>
      </c>
      <c r="G379" s="76">
        <v>7658</v>
      </c>
      <c r="H379" s="76">
        <v>8472</v>
      </c>
      <c r="I379" s="76">
        <v>12364</v>
      </c>
      <c r="J379" s="76">
        <v>6244</v>
      </c>
      <c r="K379" s="76">
        <v>6756</v>
      </c>
      <c r="L379" s="76">
        <v>5135</v>
      </c>
      <c r="M379" s="76">
        <v>7943</v>
      </c>
      <c r="N379" s="76">
        <v>7752</v>
      </c>
      <c r="O379" s="76">
        <v>7799</v>
      </c>
      <c r="P379" s="31">
        <f t="shared" si="94"/>
        <v>93804</v>
      </c>
      <c r="Q379"/>
    </row>
    <row r="380" spans="1:18" ht="12.75" hidden="1" customHeight="1" x14ac:dyDescent="0.25">
      <c r="A380"/>
      <c r="B380" s="443"/>
      <c r="C380" s="75" t="s">
        <v>93</v>
      </c>
      <c r="D380" s="76">
        <v>493</v>
      </c>
      <c r="E380" s="76">
        <v>1311</v>
      </c>
      <c r="F380" s="76">
        <v>1250</v>
      </c>
      <c r="G380" s="76">
        <v>755</v>
      </c>
      <c r="H380" s="76">
        <v>765</v>
      </c>
      <c r="I380" s="76">
        <v>761</v>
      </c>
      <c r="J380" s="76">
        <v>945</v>
      </c>
      <c r="K380" s="76">
        <v>667</v>
      </c>
      <c r="L380" s="76">
        <v>384</v>
      </c>
      <c r="M380" s="76">
        <v>725</v>
      </c>
      <c r="N380" s="76">
        <v>1425</v>
      </c>
      <c r="O380" s="76">
        <v>1667</v>
      </c>
      <c r="P380" s="27">
        <f t="shared" si="94"/>
        <v>11148</v>
      </c>
      <c r="Q380"/>
    </row>
    <row r="381" spans="1:18" ht="12.75" hidden="1" customHeight="1" x14ac:dyDescent="0.25">
      <c r="A381"/>
      <c r="B381" s="443"/>
      <c r="C381" s="28" t="s">
        <v>94</v>
      </c>
      <c r="D381" s="29">
        <v>174</v>
      </c>
      <c r="E381" s="30">
        <v>191</v>
      </c>
      <c r="F381" s="29">
        <v>284</v>
      </c>
      <c r="G381" s="30">
        <v>124</v>
      </c>
      <c r="H381" s="30">
        <v>115</v>
      </c>
      <c r="I381" s="30">
        <v>96</v>
      </c>
      <c r="J381" s="30">
        <v>45</v>
      </c>
      <c r="K381" s="30">
        <v>35</v>
      </c>
      <c r="L381" s="32">
        <v>172</v>
      </c>
      <c r="M381" s="30">
        <v>648</v>
      </c>
      <c r="N381" s="30">
        <v>463</v>
      </c>
      <c r="O381" s="30">
        <v>94</v>
      </c>
      <c r="P381" s="78">
        <f t="shared" si="94"/>
        <v>2441</v>
      </c>
      <c r="Q381"/>
    </row>
    <row r="382" spans="1:18" ht="12.75" hidden="1" customHeight="1" x14ac:dyDescent="0.25">
      <c r="A382"/>
      <c r="B382" s="443"/>
      <c r="C382" s="73" t="s">
        <v>95</v>
      </c>
      <c r="D382" s="74">
        <v>6207</v>
      </c>
      <c r="E382" s="74">
        <v>5916</v>
      </c>
      <c r="F382" s="74">
        <v>7053</v>
      </c>
      <c r="G382" s="74">
        <v>8057</v>
      </c>
      <c r="H382" s="74">
        <v>8547</v>
      </c>
      <c r="I382" s="74">
        <v>8768</v>
      </c>
      <c r="J382" s="74">
        <v>6858</v>
      </c>
      <c r="K382" s="74">
        <v>5923</v>
      </c>
      <c r="L382" s="74">
        <v>6106</v>
      </c>
      <c r="M382" s="74">
        <v>5604</v>
      </c>
      <c r="N382" s="74">
        <v>5907</v>
      </c>
      <c r="O382" s="74">
        <v>7257</v>
      </c>
      <c r="P382" s="78">
        <f t="shared" si="94"/>
        <v>82203</v>
      </c>
      <c r="Q382"/>
      <c r="R382" t="s">
        <v>63</v>
      </c>
    </row>
    <row r="383" spans="1:18" ht="12.75" hidden="1" customHeight="1" x14ac:dyDescent="0.25">
      <c r="A383"/>
      <c r="B383" s="443"/>
      <c r="C383" s="73" t="s">
        <v>96</v>
      </c>
      <c r="D383" s="74">
        <v>122</v>
      </c>
      <c r="E383" s="74">
        <v>107</v>
      </c>
      <c r="F383" s="74">
        <v>299</v>
      </c>
      <c r="G383" s="74">
        <v>150</v>
      </c>
      <c r="H383" s="74">
        <v>101</v>
      </c>
      <c r="I383" s="74">
        <v>112</v>
      </c>
      <c r="J383" s="74">
        <v>83</v>
      </c>
      <c r="K383" s="74">
        <v>68</v>
      </c>
      <c r="L383" s="74">
        <v>84</v>
      </c>
      <c r="M383" s="74">
        <v>68</v>
      </c>
      <c r="N383" s="74">
        <v>33</v>
      </c>
      <c r="O383" s="74">
        <v>64</v>
      </c>
      <c r="P383" s="78">
        <f t="shared" si="94"/>
        <v>1291</v>
      </c>
      <c r="Q383"/>
    </row>
    <row r="384" spans="1:18" ht="12.75" hidden="1" customHeight="1" x14ac:dyDescent="0.25">
      <c r="A384"/>
      <c r="B384" s="443"/>
      <c r="C384" s="71" t="s">
        <v>97</v>
      </c>
      <c r="D384" s="72">
        <v>5041</v>
      </c>
      <c r="E384" s="72">
        <v>3876</v>
      </c>
      <c r="F384" s="72">
        <v>4550</v>
      </c>
      <c r="G384" s="72">
        <v>5165</v>
      </c>
      <c r="H384" s="72">
        <v>5144</v>
      </c>
      <c r="I384" s="72">
        <v>6412</v>
      </c>
      <c r="J384" s="72">
        <v>3450</v>
      </c>
      <c r="K384" s="72">
        <v>3069</v>
      </c>
      <c r="L384" s="72">
        <v>3268</v>
      </c>
      <c r="M384" s="72">
        <v>3527</v>
      </c>
      <c r="N384" s="72">
        <v>7984</v>
      </c>
      <c r="O384" s="72">
        <v>17247</v>
      </c>
      <c r="P384" s="78">
        <f t="shared" si="94"/>
        <v>68733</v>
      </c>
      <c r="Q384"/>
    </row>
    <row r="385" spans="1:17" ht="12.75" hidden="1" customHeight="1" x14ac:dyDescent="0.25">
      <c r="A385"/>
      <c r="B385" s="443"/>
      <c r="C385" s="126" t="s">
        <v>98</v>
      </c>
      <c r="D385" s="127">
        <v>266</v>
      </c>
      <c r="E385" s="128">
        <v>151</v>
      </c>
      <c r="F385" s="128">
        <v>168</v>
      </c>
      <c r="G385" s="128">
        <v>176</v>
      </c>
      <c r="H385" s="128">
        <v>176</v>
      </c>
      <c r="I385" s="128">
        <v>158</v>
      </c>
      <c r="J385" s="128">
        <v>80</v>
      </c>
      <c r="K385" s="128">
        <v>91</v>
      </c>
      <c r="L385" s="128">
        <v>98</v>
      </c>
      <c r="M385" s="127">
        <v>240</v>
      </c>
      <c r="N385" s="127">
        <v>134</v>
      </c>
      <c r="O385" s="127">
        <v>508</v>
      </c>
      <c r="P385" s="78">
        <f t="shared" si="94"/>
        <v>2246</v>
      </c>
      <c r="Q385"/>
    </row>
    <row r="386" spans="1:17" ht="12.75" hidden="1" customHeight="1" x14ac:dyDescent="0.25">
      <c r="A386"/>
      <c r="B386" s="443"/>
      <c r="C386" s="33" t="s">
        <v>99</v>
      </c>
      <c r="D386" s="34">
        <v>8</v>
      </c>
      <c r="E386" s="32">
        <v>4</v>
      </c>
      <c r="F386" s="34">
        <v>20</v>
      </c>
      <c r="G386" s="32">
        <v>15</v>
      </c>
      <c r="H386" s="32">
        <v>14</v>
      </c>
      <c r="I386" s="32">
        <v>4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78">
        <f t="shared" si="94"/>
        <v>65</v>
      </c>
      <c r="Q386"/>
    </row>
    <row r="387" spans="1:17" ht="12.75" hidden="1" customHeight="1" x14ac:dyDescent="0.25">
      <c r="A387"/>
      <c r="B387" s="443"/>
      <c r="C387" s="33" t="s">
        <v>100</v>
      </c>
      <c r="D387" s="34">
        <v>34</v>
      </c>
      <c r="E387" s="32">
        <v>8</v>
      </c>
      <c r="F387" s="34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78">
        <f t="shared" si="94"/>
        <v>42</v>
      </c>
      <c r="Q387"/>
    </row>
    <row r="388" spans="1:17" ht="12.75" hidden="1" customHeight="1" thickBot="1" x14ac:dyDescent="0.3">
      <c r="A388"/>
      <c r="B388" s="432"/>
      <c r="C388" s="42" t="s">
        <v>88</v>
      </c>
      <c r="D388" s="43">
        <f>SUM(D377:D387)</f>
        <v>20413</v>
      </c>
      <c r="E388" s="43">
        <f t="shared" ref="E388:P388" si="95">SUM(E377:E387)</f>
        <v>20610</v>
      </c>
      <c r="F388" s="43">
        <f t="shared" si="95"/>
        <v>24197</v>
      </c>
      <c r="G388" s="43">
        <f t="shared" si="95"/>
        <v>23545</v>
      </c>
      <c r="H388" s="43">
        <f t="shared" si="95"/>
        <v>24672</v>
      </c>
      <c r="I388" s="43">
        <f t="shared" si="95"/>
        <v>30334</v>
      </c>
      <c r="J388" s="43">
        <v>18568</v>
      </c>
      <c r="K388" s="43">
        <v>17507</v>
      </c>
      <c r="L388" s="43">
        <v>15959</v>
      </c>
      <c r="M388" s="43">
        <v>19626</v>
      </c>
      <c r="N388" s="43">
        <v>24415</v>
      </c>
      <c r="O388" s="43">
        <v>35198</v>
      </c>
      <c r="P388" s="44">
        <f t="shared" si="95"/>
        <v>275044</v>
      </c>
      <c r="Q388"/>
    </row>
    <row r="389" spans="1:17" ht="12.75" hidden="1" customHeight="1" x14ac:dyDescent="0.25">
      <c r="A389"/>
      <c r="B389" s="441" t="s">
        <v>101</v>
      </c>
      <c r="C389" s="24" t="s">
        <v>102</v>
      </c>
      <c r="D389" s="25">
        <v>4479</v>
      </c>
      <c r="E389" s="26">
        <v>3813</v>
      </c>
      <c r="F389" s="26">
        <v>5202</v>
      </c>
      <c r="G389" s="26">
        <v>5744</v>
      </c>
      <c r="H389" s="26">
        <v>5954</v>
      </c>
      <c r="I389" s="26">
        <v>6549</v>
      </c>
      <c r="J389" s="26">
        <v>3443</v>
      </c>
      <c r="K389" s="26">
        <v>3963</v>
      </c>
      <c r="L389" s="26">
        <v>3720</v>
      </c>
      <c r="M389" s="26">
        <v>4127</v>
      </c>
      <c r="N389" s="26">
        <v>4238</v>
      </c>
      <c r="O389" s="26">
        <v>5524</v>
      </c>
      <c r="P389" s="41">
        <f t="shared" ref="P389:P401" si="96">SUM(D389:O389)</f>
        <v>56756</v>
      </c>
      <c r="Q389"/>
    </row>
    <row r="390" spans="1:17" ht="12.75" hidden="1" customHeight="1" x14ac:dyDescent="0.25">
      <c r="A390"/>
      <c r="B390" s="441"/>
      <c r="C390" s="28" t="s">
        <v>103</v>
      </c>
      <c r="D390" s="29">
        <v>5074</v>
      </c>
      <c r="E390" s="30">
        <v>5985</v>
      </c>
      <c r="F390" s="30">
        <v>7245</v>
      </c>
      <c r="G390" s="30">
        <v>6518</v>
      </c>
      <c r="H390" s="30">
        <v>7387</v>
      </c>
      <c r="I390" s="30">
        <v>8969</v>
      </c>
      <c r="J390" s="30">
        <v>4670</v>
      </c>
      <c r="K390" s="30">
        <v>5609</v>
      </c>
      <c r="L390" s="30">
        <v>7451</v>
      </c>
      <c r="M390" s="30">
        <v>4027</v>
      </c>
      <c r="N390" s="30">
        <v>5464</v>
      </c>
      <c r="O390" s="30">
        <v>8518</v>
      </c>
      <c r="P390" s="78">
        <f t="shared" si="96"/>
        <v>76917</v>
      </c>
      <c r="Q390"/>
    </row>
    <row r="391" spans="1:17" ht="12.75" hidden="1" customHeight="1" x14ac:dyDescent="0.25">
      <c r="A391"/>
      <c r="B391" s="441"/>
      <c r="C391" s="28" t="s">
        <v>104</v>
      </c>
      <c r="D391" s="29">
        <v>965</v>
      </c>
      <c r="E391" s="30">
        <v>751</v>
      </c>
      <c r="F391" s="30">
        <v>1126</v>
      </c>
      <c r="G391" s="30">
        <v>1000</v>
      </c>
      <c r="H391" s="30">
        <v>908</v>
      </c>
      <c r="I391" s="30">
        <v>1169</v>
      </c>
      <c r="J391" s="30">
        <v>505</v>
      </c>
      <c r="K391" s="30">
        <v>524</v>
      </c>
      <c r="L391" s="30">
        <v>558</v>
      </c>
      <c r="M391" s="30">
        <v>563</v>
      </c>
      <c r="N391" s="30">
        <v>500</v>
      </c>
      <c r="O391" s="30">
        <v>1017</v>
      </c>
      <c r="P391" s="31">
        <f t="shared" si="96"/>
        <v>9586</v>
      </c>
      <c r="Q391"/>
    </row>
    <row r="392" spans="1:17" ht="12.75" hidden="1" customHeight="1" thickBot="1" x14ac:dyDescent="0.3">
      <c r="A392"/>
      <c r="B392" s="444"/>
      <c r="C392" s="35" t="s">
        <v>88</v>
      </c>
      <c r="D392" s="36">
        <f t="shared" ref="D392:I392" si="97">SUM(D389:D391)</f>
        <v>10518</v>
      </c>
      <c r="E392" s="36">
        <f t="shared" si="97"/>
        <v>10549</v>
      </c>
      <c r="F392" s="36">
        <f t="shared" si="97"/>
        <v>13573</v>
      </c>
      <c r="G392" s="36">
        <f t="shared" si="97"/>
        <v>13262</v>
      </c>
      <c r="H392" s="36">
        <f t="shared" si="97"/>
        <v>14249</v>
      </c>
      <c r="I392" s="36">
        <f t="shared" si="97"/>
        <v>16687</v>
      </c>
      <c r="J392" s="36">
        <v>8618</v>
      </c>
      <c r="K392" s="36">
        <v>10096</v>
      </c>
      <c r="L392" s="36">
        <v>11729</v>
      </c>
      <c r="M392" s="36">
        <v>8717</v>
      </c>
      <c r="N392" s="36">
        <v>10202</v>
      </c>
      <c r="O392" s="36">
        <v>15059</v>
      </c>
      <c r="P392" s="37">
        <f t="shared" si="96"/>
        <v>143259</v>
      </c>
      <c r="Q392"/>
    </row>
    <row r="393" spans="1:17" ht="12.75" hidden="1" customHeight="1" x14ac:dyDescent="0.25">
      <c r="A393"/>
      <c r="B393" s="430" t="s">
        <v>105</v>
      </c>
      <c r="C393" s="38" t="s">
        <v>19</v>
      </c>
      <c r="D393" s="39">
        <v>3840</v>
      </c>
      <c r="E393" s="40">
        <v>3152</v>
      </c>
      <c r="F393" s="40">
        <v>4370</v>
      </c>
      <c r="G393" s="40">
        <v>4160</v>
      </c>
      <c r="H393" s="40">
        <v>3717</v>
      </c>
      <c r="I393" s="40">
        <v>4383</v>
      </c>
      <c r="J393" s="40">
        <v>3929</v>
      </c>
      <c r="K393" s="40">
        <v>3884</v>
      </c>
      <c r="L393" s="40">
        <v>2623</v>
      </c>
      <c r="M393" s="40">
        <v>3447</v>
      </c>
      <c r="N393" s="40">
        <v>4289</v>
      </c>
      <c r="O393" s="40">
        <v>3984</v>
      </c>
      <c r="P393" s="41">
        <f t="shared" si="96"/>
        <v>45778</v>
      </c>
      <c r="Q393"/>
    </row>
    <row r="394" spans="1:17" ht="12.75" hidden="1" customHeight="1" x14ac:dyDescent="0.25">
      <c r="A394"/>
      <c r="B394" s="431"/>
      <c r="C394" s="24" t="s">
        <v>20</v>
      </c>
      <c r="D394" s="25">
        <v>8632</v>
      </c>
      <c r="E394" s="26">
        <v>7098</v>
      </c>
      <c r="F394" s="26">
        <v>10214</v>
      </c>
      <c r="G394" s="26">
        <v>9155</v>
      </c>
      <c r="H394" s="26">
        <v>9597</v>
      </c>
      <c r="I394" s="26">
        <v>9993</v>
      </c>
      <c r="J394" s="26">
        <v>8276</v>
      </c>
      <c r="K394" s="26">
        <v>4037</v>
      </c>
      <c r="L394" s="26">
        <v>4434</v>
      </c>
      <c r="M394" s="26">
        <v>6679</v>
      </c>
      <c r="N394" s="26">
        <v>8862</v>
      </c>
      <c r="O394" s="26">
        <v>9973</v>
      </c>
      <c r="P394" s="27">
        <f t="shared" si="96"/>
        <v>96950</v>
      </c>
      <c r="Q394"/>
    </row>
    <row r="395" spans="1:17" ht="12.75" hidden="1" customHeight="1" thickBot="1" x14ac:dyDescent="0.3">
      <c r="A395"/>
      <c r="B395" s="432"/>
      <c r="C395" s="42" t="s">
        <v>88</v>
      </c>
      <c r="D395" s="43">
        <f t="shared" ref="D395:I395" si="98">SUM(D393:D394)</f>
        <v>12472</v>
      </c>
      <c r="E395" s="43">
        <f t="shared" si="98"/>
        <v>10250</v>
      </c>
      <c r="F395" s="43">
        <f t="shared" si="98"/>
        <v>14584</v>
      </c>
      <c r="G395" s="43">
        <f t="shared" si="98"/>
        <v>13315</v>
      </c>
      <c r="H395" s="43">
        <f t="shared" si="98"/>
        <v>13314</v>
      </c>
      <c r="I395" s="43">
        <f t="shared" si="98"/>
        <v>14376</v>
      </c>
      <c r="J395" s="43">
        <v>12205</v>
      </c>
      <c r="K395" s="43">
        <v>7921</v>
      </c>
      <c r="L395" s="43">
        <v>7057</v>
      </c>
      <c r="M395" s="43">
        <v>10126</v>
      </c>
      <c r="N395" s="43">
        <v>13151</v>
      </c>
      <c r="O395" s="43">
        <v>13957</v>
      </c>
      <c r="P395" s="44">
        <f t="shared" si="96"/>
        <v>142728</v>
      </c>
      <c r="Q395"/>
    </row>
    <row r="396" spans="1:17" ht="12.75" hidden="1" customHeight="1" x14ac:dyDescent="0.25">
      <c r="A396"/>
      <c r="B396" s="430" t="s">
        <v>106</v>
      </c>
      <c r="C396" s="38" t="s">
        <v>107</v>
      </c>
      <c r="D396" s="39">
        <v>616</v>
      </c>
      <c r="E396" s="40">
        <v>733</v>
      </c>
      <c r="F396" s="40">
        <v>819</v>
      </c>
      <c r="G396" s="40">
        <v>721</v>
      </c>
      <c r="H396" s="40">
        <v>693</v>
      </c>
      <c r="I396" s="40">
        <v>701</v>
      </c>
      <c r="J396" s="40">
        <v>618</v>
      </c>
      <c r="K396" s="40">
        <v>406</v>
      </c>
      <c r="L396" s="40">
        <v>427</v>
      </c>
      <c r="M396" s="40">
        <v>554</v>
      </c>
      <c r="N396" s="40">
        <v>557</v>
      </c>
      <c r="O396" s="40">
        <v>715</v>
      </c>
      <c r="P396" s="41">
        <f t="shared" si="96"/>
        <v>7560</v>
      </c>
      <c r="Q396"/>
    </row>
    <row r="397" spans="1:17" ht="12.75" hidden="1" customHeight="1" x14ac:dyDescent="0.25">
      <c r="A397"/>
      <c r="B397" s="431"/>
      <c r="C397" s="24" t="s">
        <v>108</v>
      </c>
      <c r="D397" s="25">
        <v>1394</v>
      </c>
      <c r="E397" s="26">
        <v>1523</v>
      </c>
      <c r="F397" s="26">
        <v>2134</v>
      </c>
      <c r="G397" s="26">
        <v>2213</v>
      </c>
      <c r="H397" s="26">
        <v>2110</v>
      </c>
      <c r="I397" s="26">
        <v>2136</v>
      </c>
      <c r="J397" s="26">
        <v>2079</v>
      </c>
      <c r="K397" s="26">
        <v>1680</v>
      </c>
      <c r="L397" s="26">
        <v>1900</v>
      </c>
      <c r="M397" s="26">
        <v>2322</v>
      </c>
      <c r="N397" s="26">
        <v>2345</v>
      </c>
      <c r="O397" s="26">
        <v>1937</v>
      </c>
      <c r="P397" s="27">
        <f t="shared" si="96"/>
        <v>23773</v>
      </c>
      <c r="Q397"/>
    </row>
    <row r="398" spans="1:17" ht="4.5" hidden="1" customHeight="1" thickBot="1" x14ac:dyDescent="0.3">
      <c r="A398"/>
      <c r="B398" s="432"/>
      <c r="C398" s="42" t="s">
        <v>88</v>
      </c>
      <c r="D398" s="43">
        <f t="shared" ref="D398:I398" si="99">SUM(D396:D397)</f>
        <v>2010</v>
      </c>
      <c r="E398" s="43">
        <f t="shared" si="99"/>
        <v>2256</v>
      </c>
      <c r="F398" s="43">
        <f t="shared" si="99"/>
        <v>2953</v>
      </c>
      <c r="G398" s="43">
        <f t="shared" si="99"/>
        <v>2934</v>
      </c>
      <c r="H398" s="43">
        <f t="shared" si="99"/>
        <v>2803</v>
      </c>
      <c r="I398" s="43">
        <f t="shared" si="99"/>
        <v>2837</v>
      </c>
      <c r="J398" s="43">
        <v>2697</v>
      </c>
      <c r="K398" s="43">
        <v>2086</v>
      </c>
      <c r="L398" s="43">
        <v>2327</v>
      </c>
      <c r="M398" s="43">
        <v>2876</v>
      </c>
      <c r="N398" s="43">
        <v>2902</v>
      </c>
      <c r="O398" s="43">
        <v>2652</v>
      </c>
      <c r="P398" s="44">
        <f t="shared" si="96"/>
        <v>31333</v>
      </c>
      <c r="Q398"/>
    </row>
    <row r="399" spans="1:17" ht="13.5" hidden="1" customHeight="1" x14ac:dyDescent="0.25">
      <c r="A399"/>
      <c r="B399" s="449" t="s">
        <v>109</v>
      </c>
      <c r="C399" s="134" t="s">
        <v>110</v>
      </c>
      <c r="D399" s="132">
        <v>2275</v>
      </c>
      <c r="E399" s="132">
        <v>2703</v>
      </c>
      <c r="F399" s="132">
        <v>3289</v>
      </c>
      <c r="G399" s="132">
        <v>3423</v>
      </c>
      <c r="H399" s="132">
        <v>2896</v>
      </c>
      <c r="I399" s="132">
        <v>2711</v>
      </c>
      <c r="J399" s="132">
        <v>4574</v>
      </c>
      <c r="K399" s="132">
        <v>3409</v>
      </c>
      <c r="L399" s="132">
        <v>3500</v>
      </c>
      <c r="M399" s="132">
        <v>4876</v>
      </c>
      <c r="N399" s="132">
        <v>5051</v>
      </c>
      <c r="O399" s="132">
        <v>4243</v>
      </c>
      <c r="P399" s="133">
        <f t="shared" si="96"/>
        <v>42950</v>
      </c>
    </row>
    <row r="400" spans="1:17" ht="9.75" hidden="1" customHeight="1" x14ac:dyDescent="0.25">
      <c r="A400"/>
      <c r="B400" s="450"/>
      <c r="C400" s="28" t="s">
        <v>111</v>
      </c>
      <c r="D400" s="29">
        <v>2164</v>
      </c>
      <c r="E400" s="30">
        <v>2476</v>
      </c>
      <c r="F400" s="30">
        <v>3570</v>
      </c>
      <c r="G400" s="30">
        <v>2986</v>
      </c>
      <c r="H400" s="30">
        <v>2893</v>
      </c>
      <c r="I400" s="30">
        <v>3025</v>
      </c>
      <c r="J400" s="30">
        <v>1217</v>
      </c>
      <c r="K400" s="30">
        <v>1093</v>
      </c>
      <c r="L400" s="30">
        <v>976</v>
      </c>
      <c r="M400" s="30">
        <v>965</v>
      </c>
      <c r="N400" s="30">
        <v>911</v>
      </c>
      <c r="O400" s="30">
        <v>1052</v>
      </c>
      <c r="P400" s="31">
        <f t="shared" si="96"/>
        <v>23328</v>
      </c>
    </row>
    <row r="401" spans="1:17" ht="9.9" hidden="1" customHeight="1" thickBot="1" x14ac:dyDescent="0.3">
      <c r="A401"/>
      <c r="B401" s="451"/>
      <c r="C401" s="42" t="s">
        <v>88</v>
      </c>
      <c r="D401" s="43">
        <f t="shared" ref="D401:I401" si="100">SUM(D399:D400)</f>
        <v>4439</v>
      </c>
      <c r="E401" s="43">
        <f t="shared" si="100"/>
        <v>5179</v>
      </c>
      <c r="F401" s="43">
        <f t="shared" si="100"/>
        <v>6859</v>
      </c>
      <c r="G401" s="43">
        <f t="shared" si="100"/>
        <v>6409</v>
      </c>
      <c r="H401" s="43">
        <f t="shared" si="100"/>
        <v>5789</v>
      </c>
      <c r="I401" s="43">
        <f t="shared" si="100"/>
        <v>5736</v>
      </c>
      <c r="J401" s="43">
        <v>5791</v>
      </c>
      <c r="K401" s="43">
        <v>4502</v>
      </c>
      <c r="L401" s="43">
        <v>4476</v>
      </c>
      <c r="M401" s="43">
        <v>5841</v>
      </c>
      <c r="N401" s="43">
        <v>5962</v>
      </c>
      <c r="O401" s="43">
        <v>5295</v>
      </c>
      <c r="P401" s="43">
        <f t="shared" si="96"/>
        <v>66278</v>
      </c>
    </row>
    <row r="402" spans="1:17" ht="9.9" hidden="1" customHeight="1" thickBot="1" x14ac:dyDescent="0.3">
      <c r="A402"/>
      <c r="B402" s="433" t="s">
        <v>112</v>
      </c>
      <c r="C402" s="434"/>
      <c r="D402" s="45">
        <f>D388+D392+D395+D398+D401</f>
        <v>49852</v>
      </c>
      <c r="E402" s="45">
        <f t="shared" ref="E402:P402" si="101">E388+E392+E395+E398+E401</f>
        <v>48844</v>
      </c>
      <c r="F402" s="45">
        <f t="shared" si="101"/>
        <v>62166</v>
      </c>
      <c r="G402" s="45">
        <f t="shared" si="101"/>
        <v>59465</v>
      </c>
      <c r="H402" s="45">
        <f t="shared" si="101"/>
        <v>60827</v>
      </c>
      <c r="I402" s="45">
        <f t="shared" si="101"/>
        <v>69970</v>
      </c>
      <c r="J402" s="45">
        <f t="shared" ref="J402:O402" si="102">J388+J392+J395+J398+J401</f>
        <v>47879</v>
      </c>
      <c r="K402" s="45">
        <f t="shared" si="102"/>
        <v>42112</v>
      </c>
      <c r="L402" s="45">
        <f t="shared" si="102"/>
        <v>41548</v>
      </c>
      <c r="M402" s="45">
        <f t="shared" si="102"/>
        <v>47186</v>
      </c>
      <c r="N402" s="45">
        <f t="shared" si="102"/>
        <v>56632</v>
      </c>
      <c r="O402" s="45">
        <f t="shared" si="102"/>
        <v>72161</v>
      </c>
      <c r="P402" s="45">
        <f t="shared" si="101"/>
        <v>658642</v>
      </c>
    </row>
    <row r="403" spans="1:17" ht="4.5" hidden="1" customHeight="1" x14ac:dyDescent="0.25">
      <c r="A403"/>
      <c r="D403"/>
      <c r="E403"/>
      <c r="F403"/>
      <c r="G403"/>
      <c r="H403"/>
      <c r="I403"/>
      <c r="J403" s="116"/>
      <c r="K403"/>
      <c r="L403"/>
      <c r="M403"/>
      <c r="N403"/>
      <c r="O403"/>
      <c r="P403"/>
      <c r="Q403"/>
    </row>
    <row r="404" spans="1:17" ht="13.5" hidden="1" customHeight="1" x14ac:dyDescent="0.25">
      <c r="A404"/>
      <c r="B404" s="82" t="s">
        <v>27</v>
      </c>
      <c r="C404" s="83"/>
      <c r="D404" s="84">
        <f t="shared" ref="D404:I404" si="103">SUM(D405:D407)</f>
        <v>5041</v>
      </c>
      <c r="E404" s="84">
        <f t="shared" si="103"/>
        <v>3876</v>
      </c>
      <c r="F404" s="84">
        <f t="shared" si="103"/>
        <v>4550</v>
      </c>
      <c r="G404" s="84">
        <f t="shared" si="103"/>
        <v>5165</v>
      </c>
      <c r="H404" s="84">
        <f t="shared" si="103"/>
        <v>5144</v>
      </c>
      <c r="I404" s="84">
        <f t="shared" si="103"/>
        <v>6412</v>
      </c>
      <c r="J404" s="84">
        <f t="shared" ref="J404:P404" si="104">SUM(J405:J407)</f>
        <v>3450</v>
      </c>
      <c r="K404" s="84">
        <f t="shared" si="104"/>
        <v>3069</v>
      </c>
      <c r="L404" s="84">
        <f t="shared" si="104"/>
        <v>3268</v>
      </c>
      <c r="M404" s="84">
        <f t="shared" si="104"/>
        <v>3527</v>
      </c>
      <c r="N404" s="84">
        <f t="shared" si="104"/>
        <v>7984</v>
      </c>
      <c r="O404" s="84">
        <f t="shared" si="104"/>
        <v>17247</v>
      </c>
      <c r="P404" s="84">
        <f t="shared" si="104"/>
        <v>68733</v>
      </c>
    </row>
    <row r="405" spans="1:17" ht="9.9" hidden="1" customHeight="1" x14ac:dyDescent="0.25">
      <c r="A405"/>
      <c r="B405" s="86"/>
      <c r="C405" s="136" t="s">
        <v>80</v>
      </c>
      <c r="D405" s="137">
        <v>0</v>
      </c>
      <c r="E405" s="137">
        <v>0</v>
      </c>
      <c r="F405" s="138">
        <v>0</v>
      </c>
      <c r="G405" s="139">
        <v>0</v>
      </c>
      <c r="H405" s="138">
        <v>0</v>
      </c>
      <c r="I405" s="140">
        <v>0</v>
      </c>
      <c r="J405" s="147">
        <v>0</v>
      </c>
      <c r="K405" s="146">
        <v>0</v>
      </c>
      <c r="L405" s="146">
        <v>0</v>
      </c>
      <c r="M405" s="146">
        <v>0</v>
      </c>
      <c r="N405" s="146">
        <v>4606</v>
      </c>
      <c r="O405" s="146">
        <v>13833</v>
      </c>
      <c r="P405" s="141">
        <f>SUM(D405:O405)</f>
        <v>18439</v>
      </c>
    </row>
    <row r="406" spans="1:17" ht="9.9" hidden="1" customHeight="1" x14ac:dyDescent="0.25">
      <c r="A406"/>
      <c r="B406" s="86"/>
      <c r="C406" s="87" t="s">
        <v>52</v>
      </c>
      <c r="D406" s="100">
        <v>4419</v>
      </c>
      <c r="E406" s="100">
        <v>3331</v>
      </c>
      <c r="F406" s="88">
        <v>4006</v>
      </c>
      <c r="G406" s="101">
        <v>3932</v>
      </c>
      <c r="H406" s="88">
        <v>4518</v>
      </c>
      <c r="I406" s="98">
        <v>5357</v>
      </c>
      <c r="J406" s="98">
        <v>2993</v>
      </c>
      <c r="K406" s="88">
        <v>2772</v>
      </c>
      <c r="L406" s="88">
        <v>3050</v>
      </c>
      <c r="M406" s="88">
        <v>3160</v>
      </c>
      <c r="N406" s="88">
        <v>3145</v>
      </c>
      <c r="O406" s="88">
        <v>2697</v>
      </c>
      <c r="P406" s="89">
        <f>SUM(D406:O406)</f>
        <v>43380</v>
      </c>
    </row>
    <row r="407" spans="1:17" ht="9.9" hidden="1" customHeight="1" x14ac:dyDescent="0.25">
      <c r="A407"/>
      <c r="B407" s="90"/>
      <c r="C407" s="87" t="s">
        <v>23</v>
      </c>
      <c r="D407" s="100">
        <v>622</v>
      </c>
      <c r="E407" s="100">
        <v>545</v>
      </c>
      <c r="F407" s="88">
        <v>544</v>
      </c>
      <c r="G407" s="101">
        <v>1233</v>
      </c>
      <c r="H407" s="88">
        <v>626</v>
      </c>
      <c r="I407" s="98">
        <v>1055</v>
      </c>
      <c r="J407" s="99">
        <v>457</v>
      </c>
      <c r="K407" s="91">
        <v>297</v>
      </c>
      <c r="L407" s="91">
        <v>218</v>
      </c>
      <c r="M407" s="91">
        <v>367</v>
      </c>
      <c r="N407" s="91">
        <v>233</v>
      </c>
      <c r="O407" s="91">
        <v>717</v>
      </c>
      <c r="P407" s="89">
        <f>SUM(D407:O407)</f>
        <v>6914</v>
      </c>
    </row>
    <row r="408" spans="1:17" ht="6" hidden="1" customHeight="1" x14ac:dyDescent="0.25">
      <c r="A408"/>
      <c r="D408"/>
      <c r="E408"/>
      <c r="F408"/>
      <c r="G408"/>
      <c r="H408"/>
      <c r="I408"/>
      <c r="J408" s="116"/>
      <c r="K408"/>
      <c r="L408"/>
      <c r="M408"/>
      <c r="N408"/>
      <c r="O408"/>
      <c r="P408"/>
    </row>
    <row r="409" spans="1:17" ht="13.5" hidden="1" customHeight="1" x14ac:dyDescent="0.25">
      <c r="A409"/>
      <c r="B409" s="93" t="s">
        <v>25</v>
      </c>
      <c r="C409" s="94"/>
      <c r="D409" s="84">
        <f>SUM(D410:D412)</f>
        <v>6207</v>
      </c>
      <c r="E409" s="84">
        <f t="shared" ref="E409:P409" si="105">SUM(E410:E412)</f>
        <v>5916</v>
      </c>
      <c r="F409" s="84">
        <f t="shared" si="105"/>
        <v>7053</v>
      </c>
      <c r="G409" s="84">
        <f t="shared" si="105"/>
        <v>8057</v>
      </c>
      <c r="H409" s="84">
        <f t="shared" si="105"/>
        <v>8547</v>
      </c>
      <c r="I409" s="84">
        <f t="shared" si="105"/>
        <v>8768</v>
      </c>
      <c r="J409" s="84">
        <f t="shared" si="105"/>
        <v>6858</v>
      </c>
      <c r="K409" s="84">
        <f t="shared" si="105"/>
        <v>5923</v>
      </c>
      <c r="L409" s="84">
        <f t="shared" si="105"/>
        <v>6106</v>
      </c>
      <c r="M409" s="84">
        <f t="shared" si="105"/>
        <v>5604</v>
      </c>
      <c r="N409" s="84">
        <f t="shared" si="105"/>
        <v>5907</v>
      </c>
      <c r="O409" s="84">
        <f t="shared" si="105"/>
        <v>7257</v>
      </c>
      <c r="P409" s="84">
        <f t="shared" si="105"/>
        <v>82203</v>
      </c>
    </row>
    <row r="410" spans="1:17" ht="9.9" hidden="1" customHeight="1" x14ac:dyDescent="0.25">
      <c r="A410"/>
      <c r="B410" s="86"/>
      <c r="C410" s="87" t="s">
        <v>26</v>
      </c>
      <c r="D410" s="88">
        <v>636</v>
      </c>
      <c r="E410" s="88">
        <v>486</v>
      </c>
      <c r="F410" s="88">
        <v>611</v>
      </c>
      <c r="G410" s="88">
        <v>960</v>
      </c>
      <c r="H410" s="88">
        <v>0</v>
      </c>
      <c r="I410" s="88">
        <v>0</v>
      </c>
      <c r="J410" s="88">
        <v>0</v>
      </c>
      <c r="K410" s="88">
        <v>0</v>
      </c>
      <c r="L410" s="88">
        <v>0</v>
      </c>
      <c r="M410" s="88">
        <v>0</v>
      </c>
      <c r="N410" s="88">
        <v>0</v>
      </c>
      <c r="O410" s="88">
        <v>0</v>
      </c>
      <c r="P410" s="89">
        <f>SUM(D410:O410)</f>
        <v>2693</v>
      </c>
    </row>
    <row r="411" spans="1:17" ht="9.9" hidden="1" customHeight="1" x14ac:dyDescent="0.25">
      <c r="A411"/>
      <c r="B411" s="86"/>
      <c r="C411" s="87" t="s">
        <v>53</v>
      </c>
      <c r="D411" s="123">
        <v>5035</v>
      </c>
      <c r="E411" s="123">
        <v>4839</v>
      </c>
      <c r="F411" s="123">
        <v>5906</v>
      </c>
      <c r="G411" s="88">
        <v>5788</v>
      </c>
      <c r="H411" s="88">
        <v>7972</v>
      </c>
      <c r="I411" s="88">
        <v>8002</v>
      </c>
      <c r="J411" s="88">
        <v>6341</v>
      </c>
      <c r="K411" s="88">
        <v>5528</v>
      </c>
      <c r="L411" s="88">
        <v>5717</v>
      </c>
      <c r="M411" s="88">
        <v>5179</v>
      </c>
      <c r="N411" s="88">
        <v>5581</v>
      </c>
      <c r="O411" s="88">
        <v>6318</v>
      </c>
      <c r="P411" s="89">
        <f>SUM(D411:O411)</f>
        <v>72206</v>
      </c>
    </row>
    <row r="412" spans="1:17" hidden="1" x14ac:dyDescent="0.25">
      <c r="A412"/>
      <c r="B412" s="90"/>
      <c r="C412" s="129" t="s">
        <v>57</v>
      </c>
      <c r="D412" s="123">
        <v>536</v>
      </c>
      <c r="E412" s="123">
        <v>591</v>
      </c>
      <c r="F412" s="123">
        <v>536</v>
      </c>
      <c r="G412" s="123">
        <v>1309</v>
      </c>
      <c r="H412" s="123">
        <v>575</v>
      </c>
      <c r="I412" s="123">
        <v>766</v>
      </c>
      <c r="J412" s="123">
        <v>517</v>
      </c>
      <c r="K412" s="123">
        <v>395</v>
      </c>
      <c r="L412" s="123">
        <v>389</v>
      </c>
      <c r="M412" s="123">
        <v>425</v>
      </c>
      <c r="N412" s="123">
        <v>326</v>
      </c>
      <c r="O412" s="91">
        <v>939</v>
      </c>
      <c r="P412" s="89">
        <f>SUM(D412:O412)</f>
        <v>7304</v>
      </c>
    </row>
    <row r="413" spans="1:17" ht="14.25" hidden="1" customHeight="1" x14ac:dyDescent="0.25">
      <c r="A413"/>
      <c r="B413" s="102"/>
      <c r="C413" s="95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7"/>
    </row>
    <row r="414" spans="1:17" ht="12.75" hidden="1" customHeight="1" x14ac:dyDescent="0.25">
      <c r="A414"/>
      <c r="B414" s="82" t="s">
        <v>74</v>
      </c>
      <c r="C414" s="83"/>
      <c r="D414" s="84">
        <f>SUM(D415:D416)</f>
        <v>493</v>
      </c>
      <c r="E414" s="84">
        <f t="shared" ref="E414:P414" si="106">SUM(E415:E416)</f>
        <v>1311</v>
      </c>
      <c r="F414" s="84">
        <f t="shared" si="106"/>
        <v>1250</v>
      </c>
      <c r="G414" s="84">
        <f t="shared" si="106"/>
        <v>755</v>
      </c>
      <c r="H414" s="84">
        <f t="shared" si="106"/>
        <v>765</v>
      </c>
      <c r="I414" s="84">
        <f t="shared" si="106"/>
        <v>761</v>
      </c>
      <c r="J414" s="84">
        <f t="shared" si="106"/>
        <v>945</v>
      </c>
      <c r="K414" s="84">
        <f t="shared" si="106"/>
        <v>667</v>
      </c>
      <c r="L414" s="84">
        <f t="shared" si="106"/>
        <v>384</v>
      </c>
      <c r="M414" s="84">
        <f t="shared" si="106"/>
        <v>725</v>
      </c>
      <c r="N414" s="84">
        <f t="shared" si="106"/>
        <v>1425</v>
      </c>
      <c r="O414" s="84">
        <f t="shared" si="106"/>
        <v>1667</v>
      </c>
      <c r="P414" s="85">
        <f t="shared" si="106"/>
        <v>11148</v>
      </c>
    </row>
    <row r="415" spans="1:17" ht="12.75" hidden="1" customHeight="1" x14ac:dyDescent="0.25">
      <c r="A415"/>
      <c r="B415" s="86"/>
      <c r="C415" s="87" t="s">
        <v>75</v>
      </c>
      <c r="D415" s="100">
        <v>0</v>
      </c>
      <c r="E415" s="100">
        <v>0</v>
      </c>
      <c r="F415" s="88">
        <v>0</v>
      </c>
      <c r="G415" s="101">
        <v>0</v>
      </c>
      <c r="H415" s="88">
        <v>0</v>
      </c>
      <c r="I415" s="98">
        <v>131</v>
      </c>
      <c r="J415" s="98">
        <v>574</v>
      </c>
      <c r="K415" s="88">
        <v>270</v>
      </c>
      <c r="L415" s="88">
        <v>156</v>
      </c>
      <c r="M415" s="88">
        <v>349</v>
      </c>
      <c r="N415" s="88">
        <v>1085</v>
      </c>
      <c r="O415" s="88">
        <v>1184</v>
      </c>
      <c r="P415" s="89">
        <f>SUM(D415:O415)</f>
        <v>3749</v>
      </c>
      <c r="Q415"/>
    </row>
    <row r="416" spans="1:17" ht="12.75" hidden="1" customHeight="1" x14ac:dyDescent="0.25">
      <c r="A416"/>
      <c r="B416" s="90"/>
      <c r="C416" s="87" t="s">
        <v>23</v>
      </c>
      <c r="D416" s="100">
        <v>493</v>
      </c>
      <c r="E416" s="100">
        <v>1311</v>
      </c>
      <c r="F416" s="88">
        <v>1250</v>
      </c>
      <c r="G416" s="101">
        <v>755</v>
      </c>
      <c r="H416" s="88">
        <v>765</v>
      </c>
      <c r="I416" s="98">
        <v>630</v>
      </c>
      <c r="J416" s="99">
        <v>371</v>
      </c>
      <c r="K416" s="91">
        <v>397</v>
      </c>
      <c r="L416" s="91">
        <v>228</v>
      </c>
      <c r="M416" s="91">
        <v>376</v>
      </c>
      <c r="N416" s="91">
        <v>340</v>
      </c>
      <c r="O416" s="91">
        <v>483</v>
      </c>
      <c r="P416" s="89">
        <f>SUM(D416:O416)</f>
        <v>7399</v>
      </c>
      <c r="Q416"/>
    </row>
    <row r="417" spans="1:18" ht="12.75" hidden="1" customHeight="1" x14ac:dyDescent="0.25">
      <c r="A417"/>
      <c r="Q417"/>
    </row>
    <row r="418" spans="1:18" ht="12.75" hidden="1" customHeight="1" thickBot="1" x14ac:dyDescent="0.3">
      <c r="A418"/>
      <c r="B418" s="18" t="s">
        <v>58</v>
      </c>
      <c r="C418" s="18"/>
      <c r="Q418"/>
    </row>
    <row r="419" spans="1:18" ht="12.75" hidden="1" customHeight="1" thickBot="1" x14ac:dyDescent="0.3">
      <c r="A419"/>
      <c r="B419" s="446" t="s">
        <v>1</v>
      </c>
      <c r="C419" s="447"/>
      <c r="D419" s="21">
        <v>1</v>
      </c>
      <c r="E419" s="22">
        <v>2</v>
      </c>
      <c r="F419" s="22">
        <v>3</v>
      </c>
      <c r="G419" s="22">
        <v>4</v>
      </c>
      <c r="H419" s="22">
        <v>5</v>
      </c>
      <c r="I419" s="22">
        <v>6</v>
      </c>
      <c r="J419" s="22">
        <v>7</v>
      </c>
      <c r="K419" s="22">
        <v>8</v>
      </c>
      <c r="L419" s="22">
        <v>9</v>
      </c>
      <c r="M419" s="22">
        <v>10</v>
      </c>
      <c r="N419" s="22">
        <v>11</v>
      </c>
      <c r="O419" s="22">
        <v>12</v>
      </c>
      <c r="P419" s="23" t="s">
        <v>0</v>
      </c>
      <c r="Q419"/>
    </row>
    <row r="420" spans="1:18" ht="12.75" hidden="1" customHeight="1" x14ac:dyDescent="0.25">
      <c r="A420"/>
      <c r="B420" s="445" t="s">
        <v>46</v>
      </c>
      <c r="C420" s="38" t="s">
        <v>21</v>
      </c>
      <c r="D420" s="39">
        <v>1056</v>
      </c>
      <c r="E420" s="40">
        <v>1340</v>
      </c>
      <c r="F420" s="39">
        <v>1733</v>
      </c>
      <c r="G420" s="40">
        <v>1476</v>
      </c>
      <c r="H420" s="40">
        <v>996</v>
      </c>
      <c r="I420" s="40">
        <v>1808</v>
      </c>
      <c r="J420" s="40">
        <v>1491</v>
      </c>
      <c r="K420" s="40">
        <v>1297</v>
      </c>
      <c r="L420" s="40">
        <v>1181</v>
      </c>
      <c r="M420" s="40">
        <v>1543</v>
      </c>
      <c r="N420" s="40">
        <v>1702</v>
      </c>
      <c r="O420" s="40">
        <v>2657</v>
      </c>
      <c r="P420" s="41">
        <f t="shared" ref="P420:P430" si="107">SUM(D420:O420)</f>
        <v>18280</v>
      </c>
      <c r="Q420"/>
    </row>
    <row r="421" spans="1:18" ht="12.75" hidden="1" customHeight="1" x14ac:dyDescent="0.25">
      <c r="A421"/>
      <c r="B421" s="443"/>
      <c r="C421" s="75" t="s">
        <v>22</v>
      </c>
      <c r="D421" s="76">
        <v>94</v>
      </c>
      <c r="E421" s="77">
        <v>108</v>
      </c>
      <c r="F421" s="76">
        <v>133</v>
      </c>
      <c r="G421" s="77">
        <v>120</v>
      </c>
      <c r="H421" s="77">
        <v>147</v>
      </c>
      <c r="I421" s="77">
        <v>145</v>
      </c>
      <c r="J421" s="77">
        <v>122</v>
      </c>
      <c r="K421" s="77">
        <v>107</v>
      </c>
      <c r="L421" s="79">
        <v>77</v>
      </c>
      <c r="M421" s="77">
        <v>86</v>
      </c>
      <c r="N421" s="77">
        <v>104</v>
      </c>
      <c r="O421" s="77">
        <v>117</v>
      </c>
      <c r="P421" s="78">
        <f t="shared" si="107"/>
        <v>1360</v>
      </c>
      <c r="Q421"/>
    </row>
    <row r="422" spans="1:18" ht="12.75" hidden="1" customHeight="1" x14ac:dyDescent="0.25">
      <c r="A422"/>
      <c r="B422" s="443"/>
      <c r="C422" s="75" t="s">
        <v>24</v>
      </c>
      <c r="D422" s="76">
        <v>4357</v>
      </c>
      <c r="E422" s="76">
        <v>6717</v>
      </c>
      <c r="F422" s="76">
        <v>7239</v>
      </c>
      <c r="G422" s="76">
        <v>7775</v>
      </c>
      <c r="H422" s="76">
        <v>6620</v>
      </c>
      <c r="I422" s="76">
        <v>7023</v>
      </c>
      <c r="J422" s="76">
        <v>6891</v>
      </c>
      <c r="K422" s="76">
        <v>8806</v>
      </c>
      <c r="L422" s="76">
        <v>8583</v>
      </c>
      <c r="M422" s="76">
        <v>12838</v>
      </c>
      <c r="N422" s="76">
        <v>10119</v>
      </c>
      <c r="O422" s="76">
        <v>13454</v>
      </c>
      <c r="P422" s="78">
        <f t="shared" si="107"/>
        <v>100422</v>
      </c>
      <c r="Q422"/>
    </row>
    <row r="423" spans="1:18" ht="12.75" hidden="1" customHeight="1" x14ac:dyDescent="0.25">
      <c r="A423"/>
      <c r="B423" s="443"/>
      <c r="C423" s="28" t="s">
        <v>3</v>
      </c>
      <c r="D423" s="29">
        <v>184</v>
      </c>
      <c r="E423" s="30">
        <v>350</v>
      </c>
      <c r="F423" s="29">
        <v>364</v>
      </c>
      <c r="G423" s="30">
        <v>295</v>
      </c>
      <c r="H423" s="30">
        <v>285</v>
      </c>
      <c r="I423" s="30">
        <v>317</v>
      </c>
      <c r="J423" s="30">
        <v>311</v>
      </c>
      <c r="K423" s="30">
        <v>233</v>
      </c>
      <c r="L423" s="32">
        <v>172</v>
      </c>
      <c r="M423" s="30">
        <v>170</v>
      </c>
      <c r="N423" s="30">
        <v>280</v>
      </c>
      <c r="O423" s="30">
        <v>331</v>
      </c>
      <c r="P423" s="78">
        <f t="shared" si="107"/>
        <v>3292</v>
      </c>
      <c r="Q423"/>
    </row>
    <row r="424" spans="1:18" ht="12.75" hidden="1" customHeight="1" x14ac:dyDescent="0.25">
      <c r="A424"/>
      <c r="B424" s="443"/>
      <c r="C424" s="73" t="s">
        <v>25</v>
      </c>
      <c r="D424" s="74">
        <v>6907</v>
      </c>
      <c r="E424" s="74">
        <v>7306</v>
      </c>
      <c r="F424" s="74">
        <v>8556</v>
      </c>
      <c r="G424" s="74">
        <v>8446</v>
      </c>
      <c r="H424" s="74">
        <v>9495</v>
      </c>
      <c r="I424" s="74">
        <v>9604</v>
      </c>
      <c r="J424" s="74">
        <v>8380</v>
      </c>
      <c r="K424" s="74">
        <v>8218</v>
      </c>
      <c r="L424" s="74">
        <v>8033</v>
      </c>
      <c r="M424" s="74">
        <v>10487</v>
      </c>
      <c r="N424" s="74">
        <v>10328</v>
      </c>
      <c r="O424" s="74">
        <v>12678</v>
      </c>
      <c r="P424" s="78">
        <f t="shared" si="107"/>
        <v>108438</v>
      </c>
      <c r="Q424"/>
    </row>
    <row r="425" spans="1:18" ht="12.75" hidden="1" customHeight="1" x14ac:dyDescent="0.25">
      <c r="A425"/>
      <c r="B425" s="443"/>
      <c r="C425" s="73" t="s">
        <v>44</v>
      </c>
      <c r="D425" s="74">
        <v>187</v>
      </c>
      <c r="E425" s="74">
        <v>192</v>
      </c>
      <c r="F425" s="74">
        <v>303</v>
      </c>
      <c r="G425" s="74">
        <v>188</v>
      </c>
      <c r="H425" s="74">
        <v>156</v>
      </c>
      <c r="I425" s="74">
        <v>153</v>
      </c>
      <c r="J425" s="74">
        <v>139</v>
      </c>
      <c r="K425" s="74">
        <v>103</v>
      </c>
      <c r="L425" s="74">
        <v>127</v>
      </c>
      <c r="M425" s="74">
        <v>142</v>
      </c>
      <c r="N425" s="74">
        <v>156</v>
      </c>
      <c r="O425" s="74">
        <v>197</v>
      </c>
      <c r="P425" s="78">
        <f t="shared" si="107"/>
        <v>2043</v>
      </c>
      <c r="Q425"/>
      <c r="R425" t="s">
        <v>63</v>
      </c>
    </row>
    <row r="426" spans="1:18" ht="12.75" hidden="1" customHeight="1" x14ac:dyDescent="0.25">
      <c r="A426"/>
      <c r="B426" s="443"/>
      <c r="C426" s="71" t="s">
        <v>27</v>
      </c>
      <c r="D426" s="72">
        <v>6513</v>
      </c>
      <c r="E426" s="72">
        <v>6369</v>
      </c>
      <c r="F426" s="72">
        <v>7037</v>
      </c>
      <c r="G426" s="72">
        <v>7911</v>
      </c>
      <c r="H426" s="72">
        <v>6609</v>
      </c>
      <c r="I426" s="72">
        <v>7150</v>
      </c>
      <c r="J426" s="72">
        <v>7044</v>
      </c>
      <c r="K426" s="72">
        <v>6062</v>
      </c>
      <c r="L426" s="72">
        <v>6273</v>
      </c>
      <c r="M426" s="72">
        <v>6834</v>
      </c>
      <c r="N426" s="72">
        <v>8180</v>
      </c>
      <c r="O426" s="72">
        <v>11200</v>
      </c>
      <c r="P426" s="78">
        <f t="shared" si="107"/>
        <v>87182</v>
      </c>
      <c r="Q426"/>
    </row>
    <row r="427" spans="1:18" ht="12.75" hidden="1" customHeight="1" x14ac:dyDescent="0.25">
      <c r="A427"/>
      <c r="B427" s="443"/>
      <c r="C427" s="126" t="s">
        <v>56</v>
      </c>
      <c r="D427" s="127">
        <v>1070</v>
      </c>
      <c r="E427" s="128">
        <v>1054</v>
      </c>
      <c r="F427" s="128">
        <v>866</v>
      </c>
      <c r="G427" s="128">
        <v>965</v>
      </c>
      <c r="H427" s="128">
        <v>504</v>
      </c>
      <c r="I427" s="128">
        <v>771</v>
      </c>
      <c r="J427" s="128">
        <v>612</v>
      </c>
      <c r="K427" s="128">
        <v>425</v>
      </c>
      <c r="L427" s="128">
        <v>821</v>
      </c>
      <c r="M427" s="127">
        <v>375</v>
      </c>
      <c r="N427" s="127">
        <v>598</v>
      </c>
      <c r="O427" s="127">
        <v>568</v>
      </c>
      <c r="P427" s="78">
        <f t="shared" si="107"/>
        <v>8629</v>
      </c>
      <c r="Q427"/>
    </row>
    <row r="428" spans="1:18" ht="12.75" hidden="1" customHeight="1" x14ac:dyDescent="0.25">
      <c r="A428"/>
      <c r="B428" s="443"/>
      <c r="C428" s="126" t="s">
        <v>4</v>
      </c>
      <c r="D428" s="127">
        <v>3268</v>
      </c>
      <c r="E428" s="128">
        <v>2402</v>
      </c>
      <c r="F428" s="128">
        <v>3535</v>
      </c>
      <c r="G428" s="128">
        <v>3365</v>
      </c>
      <c r="H428" s="128">
        <v>2830</v>
      </c>
      <c r="I428" s="128">
        <v>3160</v>
      </c>
      <c r="J428" s="128">
        <v>3070</v>
      </c>
      <c r="K428" s="128">
        <v>2593</v>
      </c>
      <c r="L428" s="128">
        <v>2823</v>
      </c>
      <c r="M428" s="127">
        <v>3248</v>
      </c>
      <c r="N428" s="127">
        <v>0</v>
      </c>
      <c r="O428" s="127">
        <v>0</v>
      </c>
      <c r="P428" s="78">
        <f t="shared" si="107"/>
        <v>30294</v>
      </c>
      <c r="Q428"/>
    </row>
    <row r="429" spans="1:18" ht="12.75" hidden="1" customHeight="1" x14ac:dyDescent="0.25">
      <c r="A429"/>
      <c r="B429" s="443"/>
      <c r="C429" s="33" t="s">
        <v>5</v>
      </c>
      <c r="D429" s="34">
        <v>29</v>
      </c>
      <c r="E429" s="32">
        <v>12</v>
      </c>
      <c r="F429" s="34">
        <v>19</v>
      </c>
      <c r="G429" s="32">
        <v>24</v>
      </c>
      <c r="H429" s="32">
        <v>27</v>
      </c>
      <c r="I429" s="32">
        <v>32</v>
      </c>
      <c r="J429" s="32">
        <v>8</v>
      </c>
      <c r="K429" s="32">
        <v>28</v>
      </c>
      <c r="L429" s="32">
        <v>14</v>
      </c>
      <c r="M429" s="32">
        <v>17</v>
      </c>
      <c r="N429" s="32">
        <v>19</v>
      </c>
      <c r="O429" s="32">
        <v>14</v>
      </c>
      <c r="P429" s="78">
        <f t="shared" si="107"/>
        <v>243</v>
      </c>
      <c r="Q429"/>
    </row>
    <row r="430" spans="1:18" ht="12.75" hidden="1" customHeight="1" x14ac:dyDescent="0.25">
      <c r="A430"/>
      <c r="B430" s="443"/>
      <c r="C430" s="33" t="s">
        <v>6</v>
      </c>
      <c r="D430" s="34">
        <v>921</v>
      </c>
      <c r="E430" s="32">
        <v>552</v>
      </c>
      <c r="F430" s="34">
        <v>598</v>
      </c>
      <c r="G430" s="32">
        <v>537</v>
      </c>
      <c r="H430" s="32">
        <v>457</v>
      </c>
      <c r="I430" s="32">
        <v>409</v>
      </c>
      <c r="J430" s="32">
        <v>226</v>
      </c>
      <c r="K430" s="32">
        <v>181</v>
      </c>
      <c r="L430" s="32">
        <v>196</v>
      </c>
      <c r="M430" s="32">
        <v>335</v>
      </c>
      <c r="N430" s="32">
        <v>267</v>
      </c>
      <c r="O430" s="32">
        <v>479</v>
      </c>
      <c r="P430" s="78">
        <f t="shared" si="107"/>
        <v>5158</v>
      </c>
      <c r="Q430"/>
    </row>
    <row r="431" spans="1:18" ht="12.75" hidden="1" customHeight="1" thickBot="1" x14ac:dyDescent="0.3">
      <c r="A431"/>
      <c r="B431" s="432"/>
      <c r="C431" s="42" t="s">
        <v>0</v>
      </c>
      <c r="D431" s="43">
        <f t="shared" ref="D431:P431" si="108">SUM(D420:D430)</f>
        <v>24586</v>
      </c>
      <c r="E431" s="43">
        <f t="shared" si="108"/>
        <v>26402</v>
      </c>
      <c r="F431" s="43">
        <f t="shared" si="108"/>
        <v>30383</v>
      </c>
      <c r="G431" s="43">
        <f t="shared" si="108"/>
        <v>31102</v>
      </c>
      <c r="H431" s="43">
        <f t="shared" si="108"/>
        <v>28126</v>
      </c>
      <c r="I431" s="43">
        <f t="shared" si="108"/>
        <v>30572</v>
      </c>
      <c r="J431" s="43">
        <f t="shared" si="108"/>
        <v>28294</v>
      </c>
      <c r="K431" s="43">
        <f t="shared" si="108"/>
        <v>28053</v>
      </c>
      <c r="L431" s="43">
        <f t="shared" si="108"/>
        <v>28300</v>
      </c>
      <c r="M431" s="43">
        <f t="shared" si="108"/>
        <v>36075</v>
      </c>
      <c r="N431" s="43">
        <f t="shared" si="108"/>
        <v>31753</v>
      </c>
      <c r="O431" s="43">
        <f t="shared" si="108"/>
        <v>41695</v>
      </c>
      <c r="P431" s="44">
        <f t="shared" si="108"/>
        <v>365341</v>
      </c>
      <c r="Q431"/>
    </row>
    <row r="432" spans="1:18" ht="12.75" hidden="1" customHeight="1" x14ac:dyDescent="0.25">
      <c r="A432"/>
      <c r="B432" s="441" t="s">
        <v>45</v>
      </c>
      <c r="C432" s="24" t="s">
        <v>60</v>
      </c>
      <c r="D432" s="25">
        <v>2621</v>
      </c>
      <c r="E432" s="26">
        <v>1751</v>
      </c>
      <c r="F432" s="26">
        <v>4389</v>
      </c>
      <c r="G432" s="26">
        <v>9255</v>
      </c>
      <c r="H432" s="26">
        <v>7270</v>
      </c>
      <c r="I432" s="26">
        <v>4929</v>
      </c>
      <c r="J432" s="26">
        <v>4209</v>
      </c>
      <c r="K432" s="26">
        <v>2920</v>
      </c>
      <c r="L432" s="26">
        <v>3237</v>
      </c>
      <c r="M432" s="26">
        <v>5574</v>
      </c>
      <c r="N432" s="26">
        <v>5520</v>
      </c>
      <c r="O432" s="26">
        <v>5736</v>
      </c>
      <c r="P432" s="41">
        <f>SUM(D432:O432)</f>
        <v>57411</v>
      </c>
      <c r="Q432"/>
    </row>
    <row r="433" spans="1:17" ht="12.75" hidden="1" customHeight="1" x14ac:dyDescent="0.25">
      <c r="A433"/>
      <c r="B433" s="441"/>
      <c r="C433" s="28" t="s">
        <v>8</v>
      </c>
      <c r="D433" s="29">
        <v>6689</v>
      </c>
      <c r="E433" s="30">
        <v>4892</v>
      </c>
      <c r="F433" s="30">
        <v>5815</v>
      </c>
      <c r="G433" s="30">
        <v>5679</v>
      </c>
      <c r="H433" s="30">
        <v>5458</v>
      </c>
      <c r="I433" s="30">
        <v>9073</v>
      </c>
      <c r="J433" s="30">
        <v>9942</v>
      </c>
      <c r="K433" s="30">
        <v>7957</v>
      </c>
      <c r="L433" s="30">
        <v>7568</v>
      </c>
      <c r="M433" s="30">
        <v>8787</v>
      </c>
      <c r="N433" s="30">
        <v>8879</v>
      </c>
      <c r="O433" s="30">
        <v>12189</v>
      </c>
      <c r="P433" s="78">
        <f>SUM(D433:O433)</f>
        <v>92928</v>
      </c>
      <c r="Q433"/>
    </row>
    <row r="434" spans="1:17" ht="12.75" hidden="1" customHeight="1" x14ac:dyDescent="0.25">
      <c r="A434"/>
      <c r="B434" s="441"/>
      <c r="C434" s="28" t="s">
        <v>55</v>
      </c>
      <c r="D434" s="29">
        <v>488</v>
      </c>
      <c r="E434" s="30">
        <v>273</v>
      </c>
      <c r="F434" s="30">
        <v>297</v>
      </c>
      <c r="G434" s="30">
        <v>237</v>
      </c>
      <c r="H434" s="30">
        <v>216</v>
      </c>
      <c r="I434" s="30">
        <v>267</v>
      </c>
      <c r="J434" s="30">
        <v>313</v>
      </c>
      <c r="K434" s="30">
        <v>258</v>
      </c>
      <c r="L434" s="30">
        <v>272</v>
      </c>
      <c r="M434" s="30">
        <v>314</v>
      </c>
      <c r="N434" s="30">
        <v>14</v>
      </c>
      <c r="O434" s="30">
        <v>0</v>
      </c>
      <c r="P434" s="78">
        <f>SUM(D434:O434)</f>
        <v>2949</v>
      </c>
      <c r="Q434"/>
    </row>
    <row r="435" spans="1:17" ht="12.75" hidden="1" customHeight="1" x14ac:dyDescent="0.25">
      <c r="A435"/>
      <c r="B435" s="441"/>
      <c r="C435" s="28" t="s">
        <v>51</v>
      </c>
      <c r="D435" s="29">
        <v>755</v>
      </c>
      <c r="E435" s="30">
        <v>694</v>
      </c>
      <c r="F435" s="30">
        <v>738</v>
      </c>
      <c r="G435" s="30">
        <v>667</v>
      </c>
      <c r="H435" s="30">
        <v>522</v>
      </c>
      <c r="I435" s="30">
        <v>572</v>
      </c>
      <c r="J435" s="30">
        <v>486</v>
      </c>
      <c r="K435" s="30">
        <v>419</v>
      </c>
      <c r="L435" s="30">
        <v>1101</v>
      </c>
      <c r="M435" s="30">
        <v>1617</v>
      </c>
      <c r="N435" s="30">
        <v>1500</v>
      </c>
      <c r="O435" s="30">
        <v>1435</v>
      </c>
      <c r="P435" s="31">
        <f>SUM(D435:O435)</f>
        <v>10506</v>
      </c>
      <c r="Q435"/>
    </row>
    <row r="436" spans="1:17" ht="12.75" hidden="1" customHeight="1" thickBot="1" x14ac:dyDescent="0.3">
      <c r="A436"/>
      <c r="B436" s="444"/>
      <c r="C436" s="35" t="s">
        <v>0</v>
      </c>
      <c r="D436" s="36">
        <f t="shared" ref="D436:P436" si="109">SUM(D432:D435)</f>
        <v>10553</v>
      </c>
      <c r="E436" s="36">
        <f t="shared" si="109"/>
        <v>7610</v>
      </c>
      <c r="F436" s="36">
        <f t="shared" si="109"/>
        <v>11239</v>
      </c>
      <c r="G436" s="36">
        <f t="shared" si="109"/>
        <v>15838</v>
      </c>
      <c r="H436" s="36">
        <f t="shared" si="109"/>
        <v>13466</v>
      </c>
      <c r="I436" s="36">
        <f t="shared" si="109"/>
        <v>14841</v>
      </c>
      <c r="J436" s="36">
        <f t="shared" si="109"/>
        <v>14950</v>
      </c>
      <c r="K436" s="36">
        <f t="shared" si="109"/>
        <v>11554</v>
      </c>
      <c r="L436" s="36">
        <f t="shared" si="109"/>
        <v>12178</v>
      </c>
      <c r="M436" s="36">
        <f t="shared" si="109"/>
        <v>16292</v>
      </c>
      <c r="N436" s="36">
        <f t="shared" si="109"/>
        <v>15913</v>
      </c>
      <c r="O436" s="36">
        <f t="shared" si="109"/>
        <v>19360</v>
      </c>
      <c r="P436" s="37">
        <f t="shared" si="109"/>
        <v>163794</v>
      </c>
      <c r="Q436"/>
    </row>
    <row r="437" spans="1:17" ht="12.75" hidden="1" customHeight="1" x14ac:dyDescent="0.25">
      <c r="A437"/>
      <c r="B437" s="430" t="s">
        <v>9</v>
      </c>
      <c r="C437" s="38" t="s">
        <v>11</v>
      </c>
      <c r="D437" s="39">
        <v>4103</v>
      </c>
      <c r="E437" s="40">
        <v>3733</v>
      </c>
      <c r="F437" s="40">
        <v>4771</v>
      </c>
      <c r="G437" s="40">
        <v>4647</v>
      </c>
      <c r="H437" s="40">
        <v>3714</v>
      </c>
      <c r="I437" s="40">
        <v>4972</v>
      </c>
      <c r="J437" s="40">
        <v>4802</v>
      </c>
      <c r="K437" s="40">
        <v>3182</v>
      </c>
      <c r="L437" s="40">
        <v>2985</v>
      </c>
      <c r="M437" s="40">
        <v>3802</v>
      </c>
      <c r="N437" s="40">
        <v>3857</v>
      </c>
      <c r="O437" s="40">
        <v>3816</v>
      </c>
      <c r="P437" s="41">
        <f>SUM(D437:O437)</f>
        <v>48384</v>
      </c>
      <c r="Q437"/>
    </row>
    <row r="438" spans="1:17" ht="12.75" hidden="1" customHeight="1" x14ac:dyDescent="0.25">
      <c r="A438"/>
      <c r="B438" s="431"/>
      <c r="C438" s="24" t="s">
        <v>12</v>
      </c>
      <c r="D438" s="25">
        <v>8860</v>
      </c>
      <c r="E438" s="26">
        <v>6873</v>
      </c>
      <c r="F438" s="26">
        <v>9117</v>
      </c>
      <c r="G438" s="26">
        <v>9455</v>
      </c>
      <c r="H438" s="26">
        <v>7378</v>
      </c>
      <c r="I438" s="26">
        <v>9957</v>
      </c>
      <c r="J438" s="26">
        <v>9525</v>
      </c>
      <c r="K438" s="26">
        <v>6234</v>
      </c>
      <c r="L438" s="26">
        <v>6430</v>
      </c>
      <c r="M438" s="26">
        <v>8978</v>
      </c>
      <c r="N438" s="26">
        <v>8520</v>
      </c>
      <c r="O438" s="26">
        <v>8416</v>
      </c>
      <c r="P438" s="27">
        <f>SUM(D438:O438)</f>
        <v>99743</v>
      </c>
      <c r="Q438"/>
    </row>
    <row r="439" spans="1:17" ht="12.75" hidden="1" customHeight="1" thickBot="1" x14ac:dyDescent="0.3">
      <c r="A439"/>
      <c r="B439" s="432"/>
      <c r="C439" s="42" t="s">
        <v>0</v>
      </c>
      <c r="D439" s="43">
        <f t="shared" ref="D439:L439" si="110">SUM(D437:D438)</f>
        <v>12963</v>
      </c>
      <c r="E439" s="43">
        <f t="shared" si="110"/>
        <v>10606</v>
      </c>
      <c r="F439" s="43">
        <f t="shared" si="110"/>
        <v>13888</v>
      </c>
      <c r="G439" s="43">
        <f t="shared" si="110"/>
        <v>14102</v>
      </c>
      <c r="H439" s="43">
        <f t="shared" si="110"/>
        <v>11092</v>
      </c>
      <c r="I439" s="43">
        <f t="shared" si="110"/>
        <v>14929</v>
      </c>
      <c r="J439" s="43">
        <f t="shared" si="110"/>
        <v>14327</v>
      </c>
      <c r="K439" s="43">
        <f t="shared" si="110"/>
        <v>9416</v>
      </c>
      <c r="L439" s="43">
        <f t="shared" si="110"/>
        <v>9415</v>
      </c>
      <c r="M439" s="43">
        <f>SUM(M437:M438)</f>
        <v>12780</v>
      </c>
      <c r="N439" s="43">
        <f>SUM(N437:N438)</f>
        <v>12377</v>
      </c>
      <c r="O439" s="43">
        <f>SUM(O437:O438)</f>
        <v>12232</v>
      </c>
      <c r="P439" s="44">
        <f>SUM(P437:P438)</f>
        <v>148127</v>
      </c>
      <c r="Q439"/>
    </row>
    <row r="440" spans="1:17" ht="12.75" hidden="1" customHeight="1" x14ac:dyDescent="0.25">
      <c r="A440"/>
      <c r="B440" s="430" t="s">
        <v>10</v>
      </c>
      <c r="C440" s="38" t="s">
        <v>13</v>
      </c>
      <c r="D440" s="39">
        <v>593</v>
      </c>
      <c r="E440" s="40">
        <v>693</v>
      </c>
      <c r="F440" s="40">
        <v>879</v>
      </c>
      <c r="G440" s="40">
        <v>868</v>
      </c>
      <c r="H440" s="40">
        <v>737</v>
      </c>
      <c r="I440" s="40">
        <v>757</v>
      </c>
      <c r="J440" s="40">
        <v>665</v>
      </c>
      <c r="K440" s="40">
        <v>626</v>
      </c>
      <c r="L440" s="40">
        <v>592</v>
      </c>
      <c r="M440" s="40">
        <v>729</v>
      </c>
      <c r="N440" s="40">
        <v>728</v>
      </c>
      <c r="O440" s="40">
        <v>728</v>
      </c>
      <c r="P440" s="41">
        <f>SUM(D440:O440)</f>
        <v>8595</v>
      </c>
      <c r="Q440"/>
    </row>
    <row r="441" spans="1:17" ht="12.75" hidden="1" customHeight="1" x14ac:dyDescent="0.25">
      <c r="A441"/>
      <c r="B441" s="431"/>
      <c r="C441" s="24" t="s">
        <v>14</v>
      </c>
      <c r="D441" s="25">
        <v>1718</v>
      </c>
      <c r="E441" s="26">
        <v>1548</v>
      </c>
      <c r="F441" s="26">
        <v>1576</v>
      </c>
      <c r="G441" s="26">
        <v>1140</v>
      </c>
      <c r="H441" s="26">
        <v>1569</v>
      </c>
      <c r="I441" s="26">
        <v>1703</v>
      </c>
      <c r="J441" s="26">
        <v>1721</v>
      </c>
      <c r="K441" s="26">
        <v>1449</v>
      </c>
      <c r="L441" s="26">
        <v>1469</v>
      </c>
      <c r="M441" s="26">
        <v>1931</v>
      </c>
      <c r="N441" s="26">
        <v>1738</v>
      </c>
      <c r="O441" s="26">
        <v>1543</v>
      </c>
      <c r="P441" s="27">
        <f>SUM(D441:O441)</f>
        <v>19105</v>
      </c>
      <c r="Q441"/>
    </row>
    <row r="442" spans="1:17" ht="8.4" hidden="1" customHeight="1" thickBot="1" x14ac:dyDescent="0.3">
      <c r="A442"/>
      <c r="B442" s="432"/>
      <c r="C442" s="42" t="s">
        <v>0</v>
      </c>
      <c r="D442" s="43">
        <f t="shared" ref="D442:I442" si="111">SUM(D440:D441)</f>
        <v>2311</v>
      </c>
      <c r="E442" s="43">
        <f t="shared" si="111"/>
        <v>2241</v>
      </c>
      <c r="F442" s="43">
        <f t="shared" si="111"/>
        <v>2455</v>
      </c>
      <c r="G442" s="43">
        <f t="shared" si="111"/>
        <v>2008</v>
      </c>
      <c r="H442" s="43">
        <f t="shared" si="111"/>
        <v>2306</v>
      </c>
      <c r="I442" s="43">
        <f t="shared" si="111"/>
        <v>2460</v>
      </c>
      <c r="J442" s="43">
        <f t="shared" ref="J442:P442" si="112">SUM(J440:J441)</f>
        <v>2386</v>
      </c>
      <c r="K442" s="43">
        <f t="shared" si="112"/>
        <v>2075</v>
      </c>
      <c r="L442" s="43">
        <f t="shared" si="112"/>
        <v>2061</v>
      </c>
      <c r="M442" s="43">
        <f t="shared" si="112"/>
        <v>2660</v>
      </c>
      <c r="N442" s="43">
        <f t="shared" si="112"/>
        <v>2466</v>
      </c>
      <c r="O442" s="43">
        <f t="shared" si="112"/>
        <v>2271</v>
      </c>
      <c r="P442" s="44">
        <f t="shared" si="112"/>
        <v>27700</v>
      </c>
      <c r="Q442"/>
    </row>
    <row r="443" spans="1:17" ht="13.5" hidden="1" customHeight="1" x14ac:dyDescent="0.25">
      <c r="A443"/>
      <c r="B443" s="449" t="s">
        <v>4</v>
      </c>
      <c r="C443" s="134" t="s">
        <v>66</v>
      </c>
      <c r="D443" s="132">
        <v>0</v>
      </c>
      <c r="E443" s="132">
        <v>0</v>
      </c>
      <c r="F443" s="132">
        <v>0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2657</v>
      </c>
      <c r="O443" s="132">
        <v>5972</v>
      </c>
      <c r="P443" s="133">
        <f>SUM(D443:O443)</f>
        <v>8629</v>
      </c>
    </row>
    <row r="444" spans="1:17" ht="9.9" hidden="1" customHeight="1" x14ac:dyDescent="0.25">
      <c r="A444"/>
      <c r="B444" s="450"/>
      <c r="C444" s="28" t="s">
        <v>65</v>
      </c>
      <c r="D444" s="29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530</v>
      </c>
      <c r="P444" s="31">
        <f>SUM(D444:O444)</f>
        <v>530</v>
      </c>
    </row>
    <row r="445" spans="1:17" ht="9.9" hidden="1" customHeight="1" thickBot="1" x14ac:dyDescent="0.3">
      <c r="A445"/>
      <c r="B445" s="451"/>
      <c r="C445" s="42" t="s">
        <v>0</v>
      </c>
      <c r="D445" s="43">
        <f t="shared" ref="D445:M445" si="113">SUM(D444:D444)</f>
        <v>0</v>
      </c>
      <c r="E445" s="43">
        <f t="shared" si="113"/>
        <v>0</v>
      </c>
      <c r="F445" s="43">
        <f t="shared" si="113"/>
        <v>0</v>
      </c>
      <c r="G445" s="43">
        <f t="shared" si="113"/>
        <v>0</v>
      </c>
      <c r="H445" s="43">
        <f t="shared" si="113"/>
        <v>0</v>
      </c>
      <c r="I445" s="43">
        <f t="shared" si="113"/>
        <v>0</v>
      </c>
      <c r="J445" s="43">
        <f t="shared" si="113"/>
        <v>0</v>
      </c>
      <c r="K445" s="43">
        <f t="shared" si="113"/>
        <v>0</v>
      </c>
      <c r="L445" s="43">
        <f t="shared" si="113"/>
        <v>0</v>
      </c>
      <c r="M445" s="43">
        <f t="shared" si="113"/>
        <v>0</v>
      </c>
      <c r="N445" s="43">
        <v>2657</v>
      </c>
      <c r="O445" s="43">
        <f>SUM(O443:O444)</f>
        <v>6502</v>
      </c>
      <c r="P445" s="44">
        <f>SUM(P443:P444)</f>
        <v>9159</v>
      </c>
    </row>
    <row r="446" spans="1:17" ht="13.2" hidden="1" customHeight="1" thickBot="1" x14ac:dyDescent="0.3">
      <c r="A446"/>
      <c r="B446" s="433" t="s">
        <v>2</v>
      </c>
      <c r="C446" s="434"/>
      <c r="D446" s="45">
        <f>D431+D436+D442+D439+D445</f>
        <v>50413</v>
      </c>
      <c r="E446" s="45">
        <f t="shared" ref="E446:M446" si="114">E431+E436+E442+E439+E445</f>
        <v>46859</v>
      </c>
      <c r="F446" s="45">
        <f t="shared" si="114"/>
        <v>57965</v>
      </c>
      <c r="G446" s="45">
        <f t="shared" si="114"/>
        <v>63050</v>
      </c>
      <c r="H446" s="45">
        <f t="shared" si="114"/>
        <v>54990</v>
      </c>
      <c r="I446" s="45">
        <f t="shared" si="114"/>
        <v>62802</v>
      </c>
      <c r="J446" s="45">
        <f t="shared" si="114"/>
        <v>59957</v>
      </c>
      <c r="K446" s="45">
        <f t="shared" si="114"/>
        <v>51098</v>
      </c>
      <c r="L446" s="45">
        <f t="shared" si="114"/>
        <v>51954</v>
      </c>
      <c r="M446" s="45">
        <f t="shared" si="114"/>
        <v>67807</v>
      </c>
      <c r="N446" s="45">
        <f>N431+N436+N442+N439+N445</f>
        <v>65166</v>
      </c>
      <c r="O446" s="45">
        <f>O431+O436+O442+O439+O445</f>
        <v>82060</v>
      </c>
      <c r="P446" s="45">
        <f>SUM(P431,P436,P445,P439,P442)</f>
        <v>714121</v>
      </c>
      <c r="Q446" s="115"/>
    </row>
    <row r="447" spans="1:17" ht="13.5" hidden="1" customHeight="1" x14ac:dyDescent="0.25">
      <c r="A447"/>
      <c r="J447" s="116"/>
    </row>
    <row r="448" spans="1:17" ht="9.9" hidden="1" customHeight="1" x14ac:dyDescent="0.25">
      <c r="A448"/>
      <c r="B448" s="82" t="s">
        <v>24</v>
      </c>
      <c r="C448" s="83"/>
      <c r="D448" s="84">
        <f>SUM(D449:D450)</f>
        <v>4357</v>
      </c>
      <c r="E448" s="84">
        <f t="shared" ref="E448:O448" si="115">SUM(E449:E450)</f>
        <v>6717</v>
      </c>
      <c r="F448" s="84">
        <f t="shared" si="115"/>
        <v>7239</v>
      </c>
      <c r="G448" s="84">
        <f t="shared" si="115"/>
        <v>7775</v>
      </c>
      <c r="H448" s="84">
        <f t="shared" si="115"/>
        <v>6620</v>
      </c>
      <c r="I448" s="84">
        <f t="shared" si="115"/>
        <v>7023</v>
      </c>
      <c r="J448" s="84">
        <f t="shared" si="115"/>
        <v>6891</v>
      </c>
      <c r="K448" s="84">
        <f t="shared" si="115"/>
        <v>8806</v>
      </c>
      <c r="L448" s="84">
        <f t="shared" si="115"/>
        <v>8583</v>
      </c>
      <c r="M448" s="84">
        <f t="shared" si="115"/>
        <v>12838</v>
      </c>
      <c r="N448" s="84">
        <f t="shared" si="115"/>
        <v>10119</v>
      </c>
      <c r="O448" s="84">
        <f t="shared" si="115"/>
        <v>13454</v>
      </c>
      <c r="P448" s="85">
        <f>SUM(P449:P450)</f>
        <v>100422</v>
      </c>
    </row>
    <row r="449" spans="1:17" ht="9.9" hidden="1" customHeight="1" x14ac:dyDescent="0.25">
      <c r="A449"/>
      <c r="B449" s="86"/>
      <c r="C449" s="87" t="s">
        <v>28</v>
      </c>
      <c r="D449" s="100">
        <v>4357</v>
      </c>
      <c r="E449" s="100">
        <v>6717</v>
      </c>
      <c r="F449" s="88">
        <v>7239</v>
      </c>
      <c r="G449" s="101">
        <v>7775</v>
      </c>
      <c r="H449" s="88">
        <v>6620</v>
      </c>
      <c r="I449" s="98">
        <v>7023</v>
      </c>
      <c r="J449" s="98">
        <v>6891</v>
      </c>
      <c r="K449" s="88">
        <v>8806</v>
      </c>
      <c r="L449" s="88">
        <v>2916</v>
      </c>
      <c r="M449" s="88">
        <v>207</v>
      </c>
      <c r="N449" s="88">
        <v>19</v>
      </c>
      <c r="O449" s="88">
        <v>3</v>
      </c>
      <c r="P449" s="89">
        <f>SUM(D449:O449)</f>
        <v>58573</v>
      </c>
    </row>
    <row r="450" spans="1:17" ht="9.9" hidden="1" customHeight="1" x14ac:dyDescent="0.25">
      <c r="A450"/>
      <c r="B450" s="90"/>
      <c r="C450" s="87" t="s">
        <v>62</v>
      </c>
      <c r="D450" s="100">
        <v>0</v>
      </c>
      <c r="E450" s="100">
        <v>0</v>
      </c>
      <c r="F450" s="88">
        <v>0</v>
      </c>
      <c r="G450" s="101">
        <v>0</v>
      </c>
      <c r="H450" s="88">
        <v>0</v>
      </c>
      <c r="I450" s="98">
        <v>0</v>
      </c>
      <c r="J450" s="99">
        <v>0</v>
      </c>
      <c r="K450" s="91">
        <v>0</v>
      </c>
      <c r="L450" s="91">
        <v>5667</v>
      </c>
      <c r="M450" s="91">
        <v>12631</v>
      </c>
      <c r="N450" s="91">
        <v>10100</v>
      </c>
      <c r="O450" s="91">
        <v>13451</v>
      </c>
      <c r="P450" s="89">
        <f>SUM(D450:O450)</f>
        <v>41849</v>
      </c>
    </row>
    <row r="451" spans="1:17" ht="6" hidden="1" customHeight="1" x14ac:dyDescent="0.25">
      <c r="A451"/>
      <c r="G451" s="92"/>
      <c r="L451" s="92"/>
      <c r="P451" s="46"/>
      <c r="Q451"/>
    </row>
    <row r="452" spans="1:17" ht="13.5" hidden="1" customHeight="1" x14ac:dyDescent="0.25">
      <c r="A452"/>
      <c r="B452" s="93" t="s">
        <v>25</v>
      </c>
      <c r="C452" s="94"/>
      <c r="D452" s="84">
        <f t="shared" ref="D452:P452" si="116">SUM(D453:D455)</f>
        <v>6907</v>
      </c>
      <c r="E452" s="84">
        <f t="shared" si="116"/>
        <v>7306</v>
      </c>
      <c r="F452" s="84">
        <f t="shared" si="116"/>
        <v>8556</v>
      </c>
      <c r="G452" s="84">
        <f t="shared" si="116"/>
        <v>8446</v>
      </c>
      <c r="H452" s="84">
        <f t="shared" si="116"/>
        <v>9495</v>
      </c>
      <c r="I452" s="84">
        <f t="shared" si="116"/>
        <v>9604</v>
      </c>
      <c r="J452" s="84">
        <f t="shared" si="116"/>
        <v>8380</v>
      </c>
      <c r="K452" s="84">
        <f t="shared" si="116"/>
        <v>8218</v>
      </c>
      <c r="L452" s="84">
        <f t="shared" si="116"/>
        <v>8033</v>
      </c>
      <c r="M452" s="84">
        <f t="shared" si="116"/>
        <v>10487</v>
      </c>
      <c r="N452" s="84">
        <f t="shared" si="116"/>
        <v>10328</v>
      </c>
      <c r="O452" s="84">
        <f t="shared" si="116"/>
        <v>12678</v>
      </c>
      <c r="P452" s="84">
        <f t="shared" si="116"/>
        <v>108438</v>
      </c>
      <c r="Q452"/>
    </row>
    <row r="453" spans="1:17" ht="9.9" hidden="1" customHeight="1" x14ac:dyDescent="0.25">
      <c r="A453"/>
      <c r="B453" s="86"/>
      <c r="C453" s="87" t="s">
        <v>26</v>
      </c>
      <c r="D453" s="88">
        <v>895</v>
      </c>
      <c r="E453" s="88">
        <v>864</v>
      </c>
      <c r="F453" s="88">
        <v>913</v>
      </c>
      <c r="G453" s="88">
        <v>829</v>
      </c>
      <c r="H453" s="88">
        <v>727</v>
      </c>
      <c r="I453" s="88">
        <v>683</v>
      </c>
      <c r="J453" s="88">
        <v>608</v>
      </c>
      <c r="K453" s="88">
        <v>581</v>
      </c>
      <c r="L453" s="88">
        <v>626</v>
      </c>
      <c r="M453" s="88">
        <v>763</v>
      </c>
      <c r="N453" s="88">
        <v>586</v>
      </c>
      <c r="O453" s="88">
        <v>694</v>
      </c>
      <c r="P453" s="89">
        <f>SUM(D453:O453)</f>
        <v>8769</v>
      </c>
      <c r="Q453"/>
    </row>
    <row r="454" spans="1:17" ht="9.9" hidden="1" customHeight="1" x14ac:dyDescent="0.25">
      <c r="A454"/>
      <c r="B454" s="86"/>
      <c r="C454" s="87" t="s">
        <v>53</v>
      </c>
      <c r="D454" s="123">
        <v>4756</v>
      </c>
      <c r="E454" s="123">
        <v>5288</v>
      </c>
      <c r="F454" s="123">
        <v>6732</v>
      </c>
      <c r="G454" s="88">
        <v>6598</v>
      </c>
      <c r="H454" s="88">
        <v>7509</v>
      </c>
      <c r="I454" s="88">
        <v>7666</v>
      </c>
      <c r="J454" s="88">
        <v>6982</v>
      </c>
      <c r="K454" s="88">
        <v>6947</v>
      </c>
      <c r="L454" s="88">
        <v>6830</v>
      </c>
      <c r="M454" s="88">
        <v>9061</v>
      </c>
      <c r="N454" s="88">
        <v>8827</v>
      </c>
      <c r="O454" s="88">
        <v>10736</v>
      </c>
      <c r="P454" s="89">
        <f>SUM(D454:O454)</f>
        <v>87932</v>
      </c>
      <c r="Q454"/>
    </row>
    <row r="455" spans="1:17" ht="9" hidden="1" customHeight="1" x14ac:dyDescent="0.25">
      <c r="A455"/>
      <c r="B455" s="90"/>
      <c r="C455" s="129" t="s">
        <v>57</v>
      </c>
      <c r="D455" s="123">
        <v>1256</v>
      </c>
      <c r="E455" s="123">
        <v>1154</v>
      </c>
      <c r="F455" s="123">
        <v>911</v>
      </c>
      <c r="G455" s="123">
        <v>1019</v>
      </c>
      <c r="H455" s="123">
        <v>1259</v>
      </c>
      <c r="I455" s="123">
        <v>1255</v>
      </c>
      <c r="J455" s="123">
        <v>790</v>
      </c>
      <c r="K455" s="123">
        <v>690</v>
      </c>
      <c r="L455" s="123">
        <v>577</v>
      </c>
      <c r="M455" s="123">
        <v>663</v>
      </c>
      <c r="N455" s="123">
        <v>915</v>
      </c>
      <c r="O455" s="91">
        <v>1248</v>
      </c>
      <c r="P455" s="89">
        <f>SUM(D455:O455)</f>
        <v>11737</v>
      </c>
      <c r="Q455"/>
    </row>
    <row r="456" spans="1:17" ht="14.25" hidden="1" customHeight="1" x14ac:dyDescent="0.25">
      <c r="A456"/>
      <c r="B456" s="102"/>
      <c r="C456" s="95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7"/>
      <c r="Q456"/>
    </row>
    <row r="457" spans="1:17" ht="11.25" hidden="1" customHeight="1" x14ac:dyDescent="0.25">
      <c r="A457"/>
      <c r="B457" s="82" t="s">
        <v>27</v>
      </c>
      <c r="C457" s="83"/>
      <c r="D457" s="84">
        <f>SUM(D458:D459)</f>
        <v>6513</v>
      </c>
      <c r="E457" s="84">
        <f t="shared" ref="E457:O457" si="117">SUM(E458:E459)</f>
        <v>6369</v>
      </c>
      <c r="F457" s="84">
        <f t="shared" si="117"/>
        <v>7037</v>
      </c>
      <c r="G457" s="84">
        <f t="shared" si="117"/>
        <v>7911</v>
      </c>
      <c r="H457" s="84">
        <f t="shared" si="117"/>
        <v>6609</v>
      </c>
      <c r="I457" s="84">
        <f t="shared" si="117"/>
        <v>7150</v>
      </c>
      <c r="J457" s="84">
        <f t="shared" si="117"/>
        <v>7044</v>
      </c>
      <c r="K457" s="84">
        <f t="shared" si="117"/>
        <v>6062</v>
      </c>
      <c r="L457" s="84">
        <f t="shared" si="117"/>
        <v>6273</v>
      </c>
      <c r="M457" s="84">
        <f t="shared" si="117"/>
        <v>6834</v>
      </c>
      <c r="N457" s="84">
        <f t="shared" si="117"/>
        <v>8180</v>
      </c>
      <c r="O457" s="84">
        <f t="shared" si="117"/>
        <v>11200</v>
      </c>
      <c r="P457" s="85">
        <f>SUM(P458:P459)</f>
        <v>87182</v>
      </c>
      <c r="Q457"/>
    </row>
    <row r="458" spans="1:17" ht="11.25" hidden="1" customHeight="1" x14ac:dyDescent="0.25">
      <c r="A458"/>
      <c r="B458" s="86"/>
      <c r="C458" s="87" t="s">
        <v>52</v>
      </c>
      <c r="D458" s="100">
        <v>5559</v>
      </c>
      <c r="E458" s="100">
        <v>5625</v>
      </c>
      <c r="F458" s="88">
        <v>6225</v>
      </c>
      <c r="G458" s="101">
        <v>6931</v>
      </c>
      <c r="H458" s="88">
        <v>5847</v>
      </c>
      <c r="I458" s="98">
        <v>6211</v>
      </c>
      <c r="J458" s="98">
        <v>6174</v>
      </c>
      <c r="K458" s="88">
        <v>5431</v>
      </c>
      <c r="L458" s="88">
        <v>5616</v>
      </c>
      <c r="M458" s="88">
        <v>6010</v>
      </c>
      <c r="N458" s="88">
        <v>7053</v>
      </c>
      <c r="O458" s="88">
        <v>9641</v>
      </c>
      <c r="P458" s="89">
        <f>SUM(D458:O458)</f>
        <v>76323</v>
      </c>
      <c r="Q458"/>
    </row>
    <row r="459" spans="1:17" ht="11.4" hidden="1" customHeight="1" x14ac:dyDescent="0.25">
      <c r="A459"/>
      <c r="B459" s="90"/>
      <c r="C459" s="87" t="s">
        <v>23</v>
      </c>
      <c r="D459" s="100">
        <v>954</v>
      </c>
      <c r="E459" s="100">
        <v>744</v>
      </c>
      <c r="F459" s="88">
        <v>812</v>
      </c>
      <c r="G459" s="101">
        <v>980</v>
      </c>
      <c r="H459" s="88">
        <v>762</v>
      </c>
      <c r="I459" s="98">
        <v>939</v>
      </c>
      <c r="J459" s="99">
        <v>870</v>
      </c>
      <c r="K459" s="91">
        <v>631</v>
      </c>
      <c r="L459" s="91">
        <v>657</v>
      </c>
      <c r="M459" s="91">
        <v>824</v>
      </c>
      <c r="N459" s="91">
        <v>1127</v>
      </c>
      <c r="O459" s="91">
        <v>1559</v>
      </c>
      <c r="P459" s="89">
        <f>SUM(D459:O459)</f>
        <v>10859</v>
      </c>
      <c r="Q459"/>
    </row>
    <row r="460" spans="1:17" ht="7.2" hidden="1" customHeight="1" x14ac:dyDescent="0.25">
      <c r="A460"/>
      <c r="B460" s="102"/>
      <c r="C460" s="95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7"/>
    </row>
    <row r="461" spans="1:17" hidden="1" x14ac:dyDescent="0.25">
      <c r="A461"/>
      <c r="B461" s="82" t="s">
        <v>60</v>
      </c>
      <c r="C461" s="83"/>
      <c r="D461" s="84">
        <f>SUM(D462:D463)</f>
        <v>2621</v>
      </c>
      <c r="E461" s="84">
        <f t="shared" ref="E461:O461" si="118">SUM(E462:E463)</f>
        <v>1751</v>
      </c>
      <c r="F461" s="84">
        <f t="shared" si="118"/>
        <v>4389</v>
      </c>
      <c r="G461" s="84">
        <f t="shared" si="118"/>
        <v>9255</v>
      </c>
      <c r="H461" s="84">
        <f t="shared" si="118"/>
        <v>7270</v>
      </c>
      <c r="I461" s="84">
        <f t="shared" si="118"/>
        <v>4929</v>
      </c>
      <c r="J461" s="84">
        <f t="shared" si="118"/>
        <v>4209</v>
      </c>
      <c r="K461" s="84">
        <f t="shared" si="118"/>
        <v>2920</v>
      </c>
      <c r="L461" s="84">
        <f t="shared" si="118"/>
        <v>3237</v>
      </c>
      <c r="M461" s="84">
        <f t="shared" si="118"/>
        <v>5574</v>
      </c>
      <c r="N461" s="84">
        <f t="shared" si="118"/>
        <v>5520</v>
      </c>
      <c r="O461" s="84">
        <f t="shared" si="118"/>
        <v>5736</v>
      </c>
      <c r="P461" s="85">
        <f>SUM(P462:P463)</f>
        <v>57411</v>
      </c>
    </row>
    <row r="462" spans="1:17" ht="10.199999999999999" hidden="1" customHeight="1" x14ac:dyDescent="0.25">
      <c r="A462"/>
      <c r="B462" s="86"/>
      <c r="C462" s="87" t="s">
        <v>7</v>
      </c>
      <c r="D462" s="100">
        <v>2621</v>
      </c>
      <c r="E462" s="100">
        <v>1751</v>
      </c>
      <c r="F462" s="88">
        <v>1494</v>
      </c>
      <c r="G462" s="101">
        <v>618</v>
      </c>
      <c r="H462" s="88">
        <v>1075</v>
      </c>
      <c r="I462" s="98">
        <v>232</v>
      </c>
      <c r="J462" s="98">
        <v>4</v>
      </c>
      <c r="K462" s="88">
        <v>1</v>
      </c>
      <c r="L462" s="88">
        <v>17</v>
      </c>
      <c r="M462" s="88" t="s">
        <v>54</v>
      </c>
      <c r="N462" s="88">
        <v>0</v>
      </c>
      <c r="O462" s="88">
        <v>12</v>
      </c>
      <c r="P462" s="89">
        <f>SUM(D462:O462)</f>
        <v>7825</v>
      </c>
    </row>
    <row r="463" spans="1:17" ht="12" hidden="1" customHeight="1" x14ac:dyDescent="0.25">
      <c r="A463"/>
      <c r="B463" s="90"/>
      <c r="C463" s="87" t="s">
        <v>61</v>
      </c>
      <c r="D463" s="100" t="s">
        <v>54</v>
      </c>
      <c r="E463" s="100" t="s">
        <v>54</v>
      </c>
      <c r="F463" s="88">
        <v>2895</v>
      </c>
      <c r="G463" s="101">
        <v>8637</v>
      </c>
      <c r="H463" s="88">
        <v>6195</v>
      </c>
      <c r="I463" s="98">
        <v>4697</v>
      </c>
      <c r="J463" s="99">
        <v>4205</v>
      </c>
      <c r="K463" s="91">
        <v>2919</v>
      </c>
      <c r="L463" s="91">
        <v>3220</v>
      </c>
      <c r="M463" s="91">
        <v>5574</v>
      </c>
      <c r="N463" s="91">
        <v>5520</v>
      </c>
      <c r="O463" s="91">
        <v>5724</v>
      </c>
      <c r="P463" s="89">
        <f>SUM(D463:O463)</f>
        <v>49586</v>
      </c>
    </row>
    <row r="464" spans="1:17" hidden="1" x14ac:dyDescent="0.25">
      <c r="A464"/>
    </row>
    <row r="465" spans="2:17" ht="15" hidden="1" thickBot="1" x14ac:dyDescent="0.3">
      <c r="B465" s="18" t="s">
        <v>200</v>
      </c>
      <c r="C465" s="18"/>
    </row>
    <row r="466" spans="2:17" ht="12.75" hidden="1" customHeight="1" thickBot="1" x14ac:dyDescent="0.3">
      <c r="B466" s="437" t="s">
        <v>1</v>
      </c>
      <c r="C466" s="438"/>
      <c r="D466" s="21">
        <v>1</v>
      </c>
      <c r="E466" s="22">
        <v>2</v>
      </c>
      <c r="F466" s="22">
        <v>3</v>
      </c>
      <c r="G466" s="22">
        <v>4</v>
      </c>
      <c r="H466" s="22">
        <v>5</v>
      </c>
      <c r="I466" s="22">
        <v>6</v>
      </c>
      <c r="J466" s="22">
        <v>7</v>
      </c>
      <c r="K466" s="22">
        <v>8</v>
      </c>
      <c r="L466" s="22">
        <v>9</v>
      </c>
      <c r="M466" s="22">
        <v>10</v>
      </c>
      <c r="N466" s="22">
        <v>11</v>
      </c>
      <c r="O466" s="22">
        <v>12</v>
      </c>
      <c r="P466" s="23" t="s">
        <v>0</v>
      </c>
    </row>
    <row r="467" spans="2:17" ht="12.75" hidden="1" customHeight="1" x14ac:dyDescent="0.25">
      <c r="B467" s="445" t="s">
        <v>46</v>
      </c>
      <c r="C467" s="38" t="s">
        <v>21</v>
      </c>
      <c r="D467" s="39">
        <v>1943</v>
      </c>
      <c r="E467" s="40">
        <v>1875</v>
      </c>
      <c r="F467" s="39">
        <v>2231</v>
      </c>
      <c r="G467" s="40">
        <v>2048</v>
      </c>
      <c r="H467" s="40">
        <v>1931</v>
      </c>
      <c r="I467" s="40">
        <v>1714</v>
      </c>
      <c r="J467" s="40">
        <v>2090</v>
      </c>
      <c r="K467" s="40">
        <v>1685</v>
      </c>
      <c r="L467" s="40">
        <v>1797</v>
      </c>
      <c r="M467" s="40">
        <v>1867</v>
      </c>
      <c r="N467" s="40">
        <v>1823</v>
      </c>
      <c r="O467" s="40">
        <v>2205</v>
      </c>
      <c r="P467" s="41">
        <f>SUM(D467:O467)</f>
        <v>23209</v>
      </c>
      <c r="Q467" s="352"/>
    </row>
    <row r="468" spans="2:17" ht="12.75" hidden="1" customHeight="1" x14ac:dyDescent="0.25">
      <c r="B468" s="443"/>
      <c r="C468" s="75" t="s">
        <v>22</v>
      </c>
      <c r="D468" s="76">
        <v>91</v>
      </c>
      <c r="E468" s="77">
        <v>150</v>
      </c>
      <c r="F468" s="76">
        <v>172</v>
      </c>
      <c r="G468" s="77">
        <v>203</v>
      </c>
      <c r="H468" s="77">
        <v>171</v>
      </c>
      <c r="I468" s="77">
        <v>151</v>
      </c>
      <c r="J468" s="77">
        <v>190</v>
      </c>
      <c r="K468" s="77">
        <v>126</v>
      </c>
      <c r="L468" s="77">
        <v>114</v>
      </c>
      <c r="M468" s="77">
        <v>136</v>
      </c>
      <c r="N468" s="77">
        <v>107</v>
      </c>
      <c r="O468" s="77">
        <v>169</v>
      </c>
      <c r="P468" s="78">
        <f t="shared" ref="P468:P477" si="119">SUM(D468:O468)</f>
        <v>1780</v>
      </c>
    </row>
    <row r="469" spans="2:17" ht="12.75" hidden="1" customHeight="1" x14ac:dyDescent="0.25">
      <c r="B469" s="443"/>
      <c r="C469" s="75" t="s">
        <v>24</v>
      </c>
      <c r="D469" s="76">
        <f>D492</f>
        <v>5154</v>
      </c>
      <c r="E469" s="76">
        <v>6479</v>
      </c>
      <c r="F469" s="76">
        <v>7578</v>
      </c>
      <c r="G469" s="76">
        <v>6878</v>
      </c>
      <c r="H469" s="76">
        <v>7286</v>
      </c>
      <c r="I469" s="76">
        <v>7260</v>
      </c>
      <c r="J469" s="76">
        <v>7508</v>
      </c>
      <c r="K469" s="76">
        <v>8194</v>
      </c>
      <c r="L469" s="76">
        <v>8738</v>
      </c>
      <c r="M469" s="76">
        <v>8779</v>
      </c>
      <c r="N469" s="76">
        <v>8006</v>
      </c>
      <c r="O469" s="76">
        <v>12035</v>
      </c>
      <c r="P469" s="78">
        <f t="shared" si="119"/>
        <v>93895</v>
      </c>
    </row>
    <row r="470" spans="2:17" ht="12.75" hidden="1" customHeight="1" x14ac:dyDescent="0.25">
      <c r="B470" s="443"/>
      <c r="C470" s="28" t="s">
        <v>3</v>
      </c>
      <c r="D470" s="29">
        <v>610</v>
      </c>
      <c r="E470" s="30">
        <v>742</v>
      </c>
      <c r="F470" s="29">
        <v>883</v>
      </c>
      <c r="G470" s="30">
        <v>676</v>
      </c>
      <c r="H470" s="30">
        <v>531</v>
      </c>
      <c r="I470" s="30">
        <v>657</v>
      </c>
      <c r="J470" s="30">
        <v>666</v>
      </c>
      <c r="K470" s="30">
        <v>601</v>
      </c>
      <c r="L470" s="30">
        <v>422</v>
      </c>
      <c r="M470" s="30">
        <v>401</v>
      </c>
      <c r="N470" s="30">
        <v>220</v>
      </c>
      <c r="O470" s="30">
        <v>251</v>
      </c>
      <c r="P470" s="78">
        <f t="shared" si="119"/>
        <v>6660</v>
      </c>
    </row>
    <row r="471" spans="2:17" ht="12.75" hidden="1" customHeight="1" x14ac:dyDescent="0.25">
      <c r="B471" s="443"/>
      <c r="C471" s="73" t="s">
        <v>25</v>
      </c>
      <c r="D471" s="74">
        <f>D496</f>
        <v>5117</v>
      </c>
      <c r="E471" s="74">
        <v>5083</v>
      </c>
      <c r="F471" s="74">
        <v>4713</v>
      </c>
      <c r="G471" s="74">
        <v>15392</v>
      </c>
      <c r="H471" s="74">
        <v>13687</v>
      </c>
      <c r="I471" s="74">
        <v>10793</v>
      </c>
      <c r="J471" s="74">
        <v>10035</v>
      </c>
      <c r="K471" s="74">
        <v>7307</v>
      </c>
      <c r="L471" s="74">
        <v>8287</v>
      </c>
      <c r="M471" s="74">
        <f>M496</f>
        <v>8071</v>
      </c>
      <c r="N471" s="74">
        <v>7631</v>
      </c>
      <c r="O471" s="74">
        <v>11898</v>
      </c>
      <c r="P471" s="78">
        <f t="shared" si="119"/>
        <v>108014</v>
      </c>
    </row>
    <row r="472" spans="2:17" ht="12.75" hidden="1" customHeight="1" x14ac:dyDescent="0.25">
      <c r="B472" s="443"/>
      <c r="C472" s="73" t="s">
        <v>44</v>
      </c>
      <c r="D472" s="74">
        <v>169</v>
      </c>
      <c r="E472" s="74">
        <v>235</v>
      </c>
      <c r="F472" s="74">
        <v>221</v>
      </c>
      <c r="G472" s="74">
        <v>216</v>
      </c>
      <c r="H472" s="74">
        <v>240</v>
      </c>
      <c r="I472" s="74">
        <v>303</v>
      </c>
      <c r="J472" s="74">
        <v>304</v>
      </c>
      <c r="K472" s="74">
        <v>252</v>
      </c>
      <c r="L472" s="74">
        <v>317</v>
      </c>
      <c r="M472" s="74">
        <v>305</v>
      </c>
      <c r="N472" s="74">
        <v>315</v>
      </c>
      <c r="O472" s="74">
        <v>454</v>
      </c>
      <c r="P472" s="78">
        <f t="shared" si="119"/>
        <v>3331</v>
      </c>
    </row>
    <row r="473" spans="2:17" ht="12.75" hidden="1" customHeight="1" x14ac:dyDescent="0.25">
      <c r="B473" s="443"/>
      <c r="C473" s="73" t="s">
        <v>27</v>
      </c>
      <c r="D473" s="74">
        <f>D503</f>
        <v>8134</v>
      </c>
      <c r="E473" s="74">
        <v>7496</v>
      </c>
      <c r="F473" s="74">
        <v>8003</v>
      </c>
      <c r="G473" s="74">
        <v>7413</v>
      </c>
      <c r="H473" s="74">
        <v>6236</v>
      </c>
      <c r="I473" s="74">
        <v>6769</v>
      </c>
      <c r="J473" s="74">
        <v>8982</v>
      </c>
      <c r="K473" s="74">
        <v>6784</v>
      </c>
      <c r="L473" s="74">
        <v>6210</v>
      </c>
      <c r="M473" s="74">
        <v>7169</v>
      </c>
      <c r="N473" s="74">
        <v>7449</v>
      </c>
      <c r="O473" s="74">
        <v>12564</v>
      </c>
      <c r="P473" s="78">
        <f t="shared" si="119"/>
        <v>93209</v>
      </c>
    </row>
    <row r="474" spans="2:17" ht="12.75" hidden="1" customHeight="1" x14ac:dyDescent="0.25">
      <c r="B474" s="443"/>
      <c r="C474" s="75" t="s">
        <v>56</v>
      </c>
      <c r="D474" s="76"/>
      <c r="E474" s="353" t="s">
        <v>54</v>
      </c>
      <c r="F474" s="353" t="s">
        <v>54</v>
      </c>
      <c r="G474" s="353" t="s">
        <v>54</v>
      </c>
      <c r="H474" s="353" t="s">
        <v>54</v>
      </c>
      <c r="I474" s="353" t="s">
        <v>54</v>
      </c>
      <c r="J474" s="353" t="s">
        <v>54</v>
      </c>
      <c r="K474" s="353" t="s">
        <v>54</v>
      </c>
      <c r="L474" s="353" t="s">
        <v>54</v>
      </c>
      <c r="M474" s="76">
        <v>239</v>
      </c>
      <c r="N474" s="76">
        <v>1320</v>
      </c>
      <c r="O474" s="76">
        <v>992</v>
      </c>
      <c r="P474" s="78">
        <f t="shared" si="119"/>
        <v>2551</v>
      </c>
    </row>
    <row r="475" spans="2:17" ht="12.75" hidden="1" customHeight="1" x14ac:dyDescent="0.25">
      <c r="B475" s="443"/>
      <c r="C475" s="28" t="s">
        <v>4</v>
      </c>
      <c r="D475" s="29">
        <v>3728</v>
      </c>
      <c r="E475" s="30">
        <v>4164</v>
      </c>
      <c r="F475" s="29">
        <v>3187</v>
      </c>
      <c r="G475" s="30">
        <v>2966</v>
      </c>
      <c r="H475" s="30">
        <v>2730</v>
      </c>
      <c r="I475" s="30">
        <v>3605</v>
      </c>
      <c r="J475" s="30">
        <v>3047</v>
      </c>
      <c r="K475" s="30">
        <v>2116</v>
      </c>
      <c r="L475" s="30">
        <v>2053</v>
      </c>
      <c r="M475" s="30">
        <v>3631</v>
      </c>
      <c r="N475" s="30">
        <v>2527</v>
      </c>
      <c r="O475" s="30">
        <v>2957</v>
      </c>
      <c r="P475" s="78">
        <f t="shared" si="119"/>
        <v>36711</v>
      </c>
    </row>
    <row r="476" spans="2:17" ht="12.75" hidden="1" customHeight="1" x14ac:dyDescent="0.25">
      <c r="B476" s="443"/>
      <c r="C476" s="28" t="s">
        <v>5</v>
      </c>
      <c r="D476" s="29">
        <v>34</v>
      </c>
      <c r="E476" s="30">
        <v>31</v>
      </c>
      <c r="F476" s="29">
        <v>41</v>
      </c>
      <c r="G476" s="30">
        <v>31</v>
      </c>
      <c r="H476" s="30">
        <v>29</v>
      </c>
      <c r="I476" s="30">
        <v>19</v>
      </c>
      <c r="J476" s="30">
        <v>38</v>
      </c>
      <c r="K476" s="30">
        <v>24</v>
      </c>
      <c r="L476" s="30">
        <v>24</v>
      </c>
      <c r="M476" s="30">
        <v>26</v>
      </c>
      <c r="N476" s="30">
        <v>18</v>
      </c>
      <c r="O476" s="30">
        <v>15</v>
      </c>
      <c r="P476" s="78">
        <f t="shared" si="119"/>
        <v>330</v>
      </c>
    </row>
    <row r="477" spans="2:17" ht="12.75" hidden="1" customHeight="1" x14ac:dyDescent="0.25">
      <c r="B477" s="443"/>
      <c r="C477" s="28" t="s">
        <v>6</v>
      </c>
      <c r="D477" s="29">
        <v>962</v>
      </c>
      <c r="E477" s="30">
        <v>843</v>
      </c>
      <c r="F477" s="29">
        <v>892</v>
      </c>
      <c r="G477" s="30">
        <v>928</v>
      </c>
      <c r="H477" s="30">
        <v>786</v>
      </c>
      <c r="I477" s="30">
        <v>683</v>
      </c>
      <c r="J477" s="30">
        <v>792</v>
      </c>
      <c r="K477" s="30">
        <v>596</v>
      </c>
      <c r="L477" s="30">
        <v>539</v>
      </c>
      <c r="M477" s="30">
        <v>556</v>
      </c>
      <c r="N477" s="30">
        <v>474</v>
      </c>
      <c r="O477" s="30">
        <v>436</v>
      </c>
      <c r="P477" s="78">
        <f t="shared" si="119"/>
        <v>8487</v>
      </c>
    </row>
    <row r="478" spans="2:17" ht="12.75" hidden="1" customHeight="1" thickBot="1" x14ac:dyDescent="0.3">
      <c r="B478" s="432"/>
      <c r="C478" s="42" t="s">
        <v>0</v>
      </c>
      <c r="D478" s="43">
        <f t="shared" ref="D478:L478" si="120">SUM(D467:D477)</f>
        <v>25942</v>
      </c>
      <c r="E478" s="43">
        <f t="shared" si="120"/>
        <v>27098</v>
      </c>
      <c r="F478" s="43">
        <f t="shared" si="120"/>
        <v>27921</v>
      </c>
      <c r="G478" s="43">
        <f t="shared" si="120"/>
        <v>36751</v>
      </c>
      <c r="H478" s="43">
        <f t="shared" si="120"/>
        <v>33627</v>
      </c>
      <c r="I478" s="43">
        <f t="shared" si="120"/>
        <v>31954</v>
      </c>
      <c r="J478" s="43">
        <f t="shared" si="120"/>
        <v>33652</v>
      </c>
      <c r="K478" s="43">
        <f t="shared" si="120"/>
        <v>27685</v>
      </c>
      <c r="L478" s="43">
        <f t="shared" si="120"/>
        <v>28501</v>
      </c>
      <c r="M478" s="43">
        <f>SUM(M467:M477)</f>
        <v>31180</v>
      </c>
      <c r="N478" s="43">
        <f>SUM(N467:N477)</f>
        <v>29890</v>
      </c>
      <c r="O478" s="43">
        <f>SUM(O467:O477)</f>
        <v>43976</v>
      </c>
      <c r="P478" s="44">
        <f>SUM(P467:P477)</f>
        <v>378177</v>
      </c>
    </row>
    <row r="479" spans="2:17" ht="12.75" hidden="1" customHeight="1" x14ac:dyDescent="0.25">
      <c r="B479" s="441" t="s">
        <v>45</v>
      </c>
      <c r="C479" s="24" t="s">
        <v>7</v>
      </c>
      <c r="D479" s="25">
        <v>3501</v>
      </c>
      <c r="E479" s="26">
        <v>3455</v>
      </c>
      <c r="F479" s="26">
        <v>3747</v>
      </c>
      <c r="G479" s="26">
        <v>3486</v>
      </c>
      <c r="H479" s="26">
        <v>3723</v>
      </c>
      <c r="I479" s="26">
        <v>3856</v>
      </c>
      <c r="J479" s="26">
        <v>4194</v>
      </c>
      <c r="K479" s="26">
        <v>3367</v>
      </c>
      <c r="L479" s="26">
        <v>2738</v>
      </c>
      <c r="M479" s="26">
        <v>3789</v>
      </c>
      <c r="N479" s="26">
        <v>2912</v>
      </c>
      <c r="O479" s="26">
        <v>2987</v>
      </c>
      <c r="P479" s="41">
        <f>SUM(D479:O479)</f>
        <v>41755</v>
      </c>
    </row>
    <row r="480" spans="2:17" ht="12.75" hidden="1" customHeight="1" x14ac:dyDescent="0.25">
      <c r="B480" s="441"/>
      <c r="C480" s="28" t="s">
        <v>8</v>
      </c>
      <c r="D480" s="29">
        <v>7160</v>
      </c>
      <c r="E480" s="30">
        <v>6102</v>
      </c>
      <c r="F480" s="30">
        <v>7737</v>
      </c>
      <c r="G480" s="30">
        <v>7785</v>
      </c>
      <c r="H480" s="30">
        <v>7406</v>
      </c>
      <c r="I480" s="30">
        <v>7813</v>
      </c>
      <c r="J480" s="30">
        <v>6051</v>
      </c>
      <c r="K480" s="30">
        <v>4901</v>
      </c>
      <c r="L480" s="30">
        <v>4987</v>
      </c>
      <c r="M480" s="30">
        <v>6102</v>
      </c>
      <c r="N480" s="30">
        <v>6053</v>
      </c>
      <c r="O480" s="30">
        <v>5592</v>
      </c>
      <c r="P480" s="78">
        <f>SUM(D480:O480)</f>
        <v>77689</v>
      </c>
    </row>
    <row r="481" spans="2:17" ht="12.75" hidden="1" customHeight="1" x14ac:dyDescent="0.25">
      <c r="B481" s="441"/>
      <c r="C481" s="28" t="s">
        <v>55</v>
      </c>
      <c r="D481" s="29">
        <v>309</v>
      </c>
      <c r="E481" s="30">
        <v>320</v>
      </c>
      <c r="F481" s="30">
        <v>307</v>
      </c>
      <c r="G481" s="30">
        <v>289</v>
      </c>
      <c r="H481" s="30">
        <v>363</v>
      </c>
      <c r="I481" s="30">
        <v>430</v>
      </c>
      <c r="J481" s="30">
        <v>532</v>
      </c>
      <c r="K481" s="30">
        <v>494</v>
      </c>
      <c r="L481" s="30">
        <v>408</v>
      </c>
      <c r="M481" s="30">
        <v>558</v>
      </c>
      <c r="N481" s="30">
        <v>403</v>
      </c>
      <c r="O481" s="30">
        <v>415</v>
      </c>
      <c r="P481" s="78">
        <f>SUM(D481:O481)</f>
        <v>4828</v>
      </c>
    </row>
    <row r="482" spans="2:17" ht="12.75" hidden="1" customHeight="1" x14ac:dyDescent="0.25">
      <c r="B482" s="441"/>
      <c r="C482" s="28" t="s">
        <v>51</v>
      </c>
      <c r="D482" s="29">
        <v>920</v>
      </c>
      <c r="E482" s="30">
        <v>886</v>
      </c>
      <c r="F482" s="30">
        <v>1084</v>
      </c>
      <c r="G482" s="30">
        <v>810</v>
      </c>
      <c r="H482" s="30">
        <v>802</v>
      </c>
      <c r="I482" s="30">
        <v>574</v>
      </c>
      <c r="J482" s="30">
        <v>655</v>
      </c>
      <c r="K482" s="30">
        <v>496</v>
      </c>
      <c r="L482" s="30">
        <v>501</v>
      </c>
      <c r="M482" s="30">
        <v>614</v>
      </c>
      <c r="N482" s="30">
        <v>641</v>
      </c>
      <c r="O482" s="30">
        <v>546</v>
      </c>
      <c r="P482" s="31">
        <f>SUM(D482:O482)</f>
        <v>8529</v>
      </c>
    </row>
    <row r="483" spans="2:17" ht="12.75" hidden="1" customHeight="1" thickBot="1" x14ac:dyDescent="0.3">
      <c r="B483" s="444"/>
      <c r="C483" s="35" t="s">
        <v>0</v>
      </c>
      <c r="D483" s="36">
        <f t="shared" ref="D483:P483" si="121">SUM(D479:D482)</f>
        <v>11890</v>
      </c>
      <c r="E483" s="36">
        <f t="shared" si="121"/>
        <v>10763</v>
      </c>
      <c r="F483" s="36">
        <f t="shared" si="121"/>
        <v>12875</v>
      </c>
      <c r="G483" s="36">
        <f t="shared" si="121"/>
        <v>12370</v>
      </c>
      <c r="H483" s="36">
        <f t="shared" si="121"/>
        <v>12294</v>
      </c>
      <c r="I483" s="36">
        <f t="shared" si="121"/>
        <v>12673</v>
      </c>
      <c r="J483" s="36">
        <f t="shared" si="121"/>
        <v>11432</v>
      </c>
      <c r="K483" s="36">
        <f t="shared" si="121"/>
        <v>9258</v>
      </c>
      <c r="L483" s="36">
        <f t="shared" si="121"/>
        <v>8634</v>
      </c>
      <c r="M483" s="36">
        <f t="shared" si="121"/>
        <v>11063</v>
      </c>
      <c r="N483" s="36">
        <f t="shared" si="121"/>
        <v>10009</v>
      </c>
      <c r="O483" s="36">
        <f t="shared" si="121"/>
        <v>9540</v>
      </c>
      <c r="P483" s="37">
        <f t="shared" si="121"/>
        <v>132801</v>
      </c>
      <c r="Q483" s="352"/>
    </row>
    <row r="484" spans="2:17" ht="12.75" hidden="1" customHeight="1" x14ac:dyDescent="0.25">
      <c r="B484" s="430" t="s">
        <v>9</v>
      </c>
      <c r="C484" s="38" t="s">
        <v>11</v>
      </c>
      <c r="D484" s="39">
        <v>3746</v>
      </c>
      <c r="E484" s="40">
        <v>3503</v>
      </c>
      <c r="F484" s="40">
        <v>4824</v>
      </c>
      <c r="G484" s="40">
        <v>4629</v>
      </c>
      <c r="H484" s="40">
        <v>3202</v>
      </c>
      <c r="I484" s="40">
        <v>4255</v>
      </c>
      <c r="J484" s="40">
        <v>3431</v>
      </c>
      <c r="K484" s="40">
        <v>3183</v>
      </c>
      <c r="L484" s="40">
        <v>2496</v>
      </c>
      <c r="M484" s="40">
        <v>4182</v>
      </c>
      <c r="N484" s="40">
        <v>4156</v>
      </c>
      <c r="O484" s="40">
        <v>4035</v>
      </c>
      <c r="P484" s="41">
        <f>SUM(D484:O484)</f>
        <v>45642</v>
      </c>
      <c r="Q484" s="352"/>
    </row>
    <row r="485" spans="2:17" ht="12.75" hidden="1" customHeight="1" x14ac:dyDescent="0.25">
      <c r="B485" s="431"/>
      <c r="C485" s="24" t="s">
        <v>12</v>
      </c>
      <c r="D485" s="25">
        <v>7541</v>
      </c>
      <c r="E485" s="26">
        <v>7486</v>
      </c>
      <c r="F485" s="26">
        <v>9488</v>
      </c>
      <c r="G485" s="26">
        <v>9261</v>
      </c>
      <c r="H485" s="26">
        <v>8083</v>
      </c>
      <c r="I485" s="26">
        <v>8311</v>
      </c>
      <c r="J485" s="26">
        <v>8171</v>
      </c>
      <c r="K485" s="26">
        <v>5906</v>
      </c>
      <c r="L485" s="26">
        <v>5644</v>
      </c>
      <c r="M485" s="26">
        <v>8636</v>
      </c>
      <c r="N485" s="26">
        <v>8577</v>
      </c>
      <c r="O485" s="26">
        <v>8594</v>
      </c>
      <c r="P485" s="27">
        <f>SUM(D485:O485)</f>
        <v>95698</v>
      </c>
    </row>
    <row r="486" spans="2:17" ht="12.75" hidden="1" customHeight="1" thickBot="1" x14ac:dyDescent="0.3">
      <c r="B486" s="432"/>
      <c r="C486" s="42" t="s">
        <v>0</v>
      </c>
      <c r="D486" s="43">
        <f t="shared" ref="D486:L486" si="122">SUM(D484:D485)</f>
        <v>11287</v>
      </c>
      <c r="E486" s="43">
        <f t="shared" si="122"/>
        <v>10989</v>
      </c>
      <c r="F486" s="43">
        <f t="shared" si="122"/>
        <v>14312</v>
      </c>
      <c r="G486" s="43">
        <f t="shared" si="122"/>
        <v>13890</v>
      </c>
      <c r="H486" s="43">
        <f t="shared" si="122"/>
        <v>11285</v>
      </c>
      <c r="I486" s="43">
        <f t="shared" si="122"/>
        <v>12566</v>
      </c>
      <c r="J486" s="43">
        <f t="shared" si="122"/>
        <v>11602</v>
      </c>
      <c r="K486" s="43">
        <f t="shared" si="122"/>
        <v>9089</v>
      </c>
      <c r="L486" s="43">
        <f t="shared" si="122"/>
        <v>8140</v>
      </c>
      <c r="M486" s="43">
        <f>SUM(M484:M485)</f>
        <v>12818</v>
      </c>
      <c r="N486" s="43">
        <f>SUM(N484:N485)</f>
        <v>12733</v>
      </c>
      <c r="O486" s="43">
        <f>SUM(O484:O485)</f>
        <v>12629</v>
      </c>
      <c r="P486" s="44">
        <f>SUM(P484:P485)</f>
        <v>141340</v>
      </c>
    </row>
    <row r="487" spans="2:17" ht="12.75" hidden="1" customHeight="1" x14ac:dyDescent="0.25">
      <c r="B487" s="430" t="s">
        <v>10</v>
      </c>
      <c r="C487" s="38" t="s">
        <v>13</v>
      </c>
      <c r="D487" s="39">
        <v>615</v>
      </c>
      <c r="E487" s="40">
        <v>697</v>
      </c>
      <c r="F487" s="40">
        <v>718</v>
      </c>
      <c r="G487" s="40">
        <v>530</v>
      </c>
      <c r="H487" s="40">
        <v>717</v>
      </c>
      <c r="I487" s="40">
        <v>657</v>
      </c>
      <c r="J487" s="40">
        <v>653</v>
      </c>
      <c r="K487" s="40">
        <v>457</v>
      </c>
      <c r="L487" s="40">
        <v>480</v>
      </c>
      <c r="M487" s="40">
        <v>688</v>
      </c>
      <c r="N487" s="40">
        <v>692</v>
      </c>
      <c r="O487" s="40">
        <v>881</v>
      </c>
      <c r="P487" s="41">
        <f>SUM(D487:O487)</f>
        <v>7785</v>
      </c>
      <c r="Q487" s="352"/>
    </row>
    <row r="488" spans="2:17" ht="12.75" hidden="1" customHeight="1" x14ac:dyDescent="0.25">
      <c r="B488" s="431"/>
      <c r="C488" s="24" t="s">
        <v>14</v>
      </c>
      <c r="D488" s="25">
        <v>1791</v>
      </c>
      <c r="E488" s="26">
        <v>1833</v>
      </c>
      <c r="F488" s="26">
        <v>1986</v>
      </c>
      <c r="G488" s="26">
        <v>2350</v>
      </c>
      <c r="H488" s="26">
        <v>1988</v>
      </c>
      <c r="I488" s="26">
        <v>2065</v>
      </c>
      <c r="J488" s="26">
        <v>2301</v>
      </c>
      <c r="K488" s="26">
        <v>1654</v>
      </c>
      <c r="L488" s="26">
        <v>2034</v>
      </c>
      <c r="M488" s="26">
        <v>2354</v>
      </c>
      <c r="N488" s="26">
        <v>2401</v>
      </c>
      <c r="O488" s="26">
        <v>2331</v>
      </c>
      <c r="P488" s="27">
        <f>SUM(D488:O488)</f>
        <v>25088</v>
      </c>
    </row>
    <row r="489" spans="2:17" ht="12.75" hidden="1" customHeight="1" thickBot="1" x14ac:dyDescent="0.3">
      <c r="B489" s="432"/>
      <c r="C489" s="42" t="s">
        <v>0</v>
      </c>
      <c r="D489" s="43">
        <f t="shared" ref="D489:O489" si="123">SUM(D487:D488)</f>
        <v>2406</v>
      </c>
      <c r="E489" s="43">
        <f t="shared" si="123"/>
        <v>2530</v>
      </c>
      <c r="F489" s="43">
        <f t="shared" si="123"/>
        <v>2704</v>
      </c>
      <c r="G489" s="43">
        <f t="shared" si="123"/>
        <v>2880</v>
      </c>
      <c r="H489" s="43">
        <f t="shared" si="123"/>
        <v>2705</v>
      </c>
      <c r="I489" s="43">
        <f t="shared" si="123"/>
        <v>2722</v>
      </c>
      <c r="J489" s="43">
        <f t="shared" si="123"/>
        <v>2954</v>
      </c>
      <c r="K489" s="43">
        <f t="shared" si="123"/>
        <v>2111</v>
      </c>
      <c r="L489" s="43">
        <f t="shared" si="123"/>
        <v>2514</v>
      </c>
      <c r="M489" s="43">
        <f t="shared" si="123"/>
        <v>3042</v>
      </c>
      <c r="N489" s="43">
        <f t="shared" si="123"/>
        <v>3093</v>
      </c>
      <c r="O489" s="43">
        <f t="shared" si="123"/>
        <v>3212</v>
      </c>
      <c r="P489" s="44">
        <f>SUM(P487:P488)</f>
        <v>32873</v>
      </c>
    </row>
    <row r="490" spans="2:17" ht="12.75" hidden="1" customHeight="1" thickBot="1" x14ac:dyDescent="0.3">
      <c r="B490" s="435" t="s">
        <v>2</v>
      </c>
      <c r="C490" s="436"/>
      <c r="D490" s="45">
        <f t="shared" ref="D490:O490" si="124">D478+D483+D489+D486</f>
        <v>51525</v>
      </c>
      <c r="E490" s="45">
        <f t="shared" si="124"/>
        <v>51380</v>
      </c>
      <c r="F490" s="45">
        <f t="shared" si="124"/>
        <v>57812</v>
      </c>
      <c r="G490" s="45">
        <f t="shared" si="124"/>
        <v>65891</v>
      </c>
      <c r="H490" s="45">
        <f t="shared" si="124"/>
        <v>59911</v>
      </c>
      <c r="I490" s="45">
        <f t="shared" si="124"/>
        <v>59915</v>
      </c>
      <c r="J490" s="45">
        <f t="shared" si="124"/>
        <v>59640</v>
      </c>
      <c r="K490" s="45">
        <f t="shared" si="124"/>
        <v>48143</v>
      </c>
      <c r="L490" s="45">
        <f t="shared" si="124"/>
        <v>47789</v>
      </c>
      <c r="M490" s="45">
        <f t="shared" si="124"/>
        <v>58103</v>
      </c>
      <c r="N490" s="45">
        <f t="shared" si="124"/>
        <v>55725</v>
      </c>
      <c r="O490" s="45">
        <f t="shared" si="124"/>
        <v>69357</v>
      </c>
      <c r="P490" s="45">
        <f>SUM(P478,P483,P486,P489)</f>
        <v>685191</v>
      </c>
      <c r="Q490" s="352"/>
    </row>
    <row r="491" spans="2:17" ht="4.5" hidden="1" customHeight="1" x14ac:dyDescent="0.25">
      <c r="J491" s="116"/>
    </row>
    <row r="492" spans="2:17" hidden="1" x14ac:dyDescent="0.25">
      <c r="B492" s="82" t="s">
        <v>24</v>
      </c>
      <c r="C492" s="83"/>
      <c r="D492" s="84">
        <f>SUM(D493:D494)</f>
        <v>5154</v>
      </c>
      <c r="E492" s="84">
        <f t="shared" ref="E492:O492" si="125">SUM(E493:E494)</f>
        <v>0</v>
      </c>
      <c r="F492" s="84">
        <f t="shared" si="125"/>
        <v>0</v>
      </c>
      <c r="G492" s="84">
        <f t="shared" si="125"/>
        <v>0</v>
      </c>
      <c r="H492" s="84">
        <f t="shared" si="125"/>
        <v>0</v>
      </c>
      <c r="I492" s="84">
        <f t="shared" si="125"/>
        <v>0</v>
      </c>
      <c r="J492" s="84">
        <f t="shared" si="125"/>
        <v>0</v>
      </c>
      <c r="K492" s="84">
        <f t="shared" si="125"/>
        <v>0</v>
      </c>
      <c r="L492" s="84">
        <f t="shared" si="125"/>
        <v>0</v>
      </c>
      <c r="M492" s="84">
        <f t="shared" si="125"/>
        <v>0</v>
      </c>
      <c r="N492" s="84">
        <f t="shared" si="125"/>
        <v>0</v>
      </c>
      <c r="O492" s="84">
        <f t="shared" si="125"/>
        <v>0</v>
      </c>
      <c r="P492" s="85">
        <f>SUM(P493:P494)</f>
        <v>5154</v>
      </c>
    </row>
    <row r="493" spans="2:17" ht="9" hidden="1" customHeight="1" x14ac:dyDescent="0.25">
      <c r="B493" s="86"/>
      <c r="C493" s="87" t="s">
        <v>28</v>
      </c>
      <c r="D493" s="100">
        <v>5154</v>
      </c>
      <c r="E493" s="100"/>
      <c r="F493" s="88"/>
      <c r="G493" s="101"/>
      <c r="H493" s="88"/>
      <c r="I493" s="98"/>
      <c r="J493" s="98"/>
      <c r="K493" s="88"/>
      <c r="L493" s="88"/>
      <c r="M493" s="88"/>
      <c r="N493" s="88"/>
      <c r="O493" s="88"/>
      <c r="P493" s="89">
        <f>SUM(D493:O493)</f>
        <v>5154</v>
      </c>
    </row>
    <row r="494" spans="2:17" ht="9" hidden="1" customHeight="1" x14ac:dyDescent="0.25">
      <c r="B494" s="90"/>
      <c r="C494" s="87" t="s">
        <v>23</v>
      </c>
      <c r="D494" s="100">
        <v>0</v>
      </c>
      <c r="E494" s="100"/>
      <c r="F494" s="88"/>
      <c r="G494" s="101"/>
      <c r="H494" s="88"/>
      <c r="I494" s="98"/>
      <c r="J494" s="99"/>
      <c r="K494" s="91"/>
      <c r="L494" s="91"/>
      <c r="M494" s="91"/>
      <c r="N494" s="91"/>
      <c r="O494" s="91"/>
      <c r="P494" s="89">
        <f>SUM(D494:O494)</f>
        <v>0</v>
      </c>
    </row>
    <row r="495" spans="2:17" ht="6" hidden="1" customHeight="1" x14ac:dyDescent="0.25">
      <c r="G495" s="92"/>
      <c r="L495" s="92"/>
      <c r="P495" s="46"/>
      <c r="Q495" s="115"/>
    </row>
    <row r="496" spans="2:17" hidden="1" x14ac:dyDescent="0.25">
      <c r="B496" s="93" t="s">
        <v>25</v>
      </c>
      <c r="C496" s="94"/>
      <c r="D496" s="84">
        <f>SUM(D497:D501)</f>
        <v>5117</v>
      </c>
      <c r="E496" s="84">
        <f>SUM(E497:E501)</f>
        <v>5083</v>
      </c>
      <c r="F496" s="84">
        <f t="shared" ref="F496:O496" si="126">SUM(F497:F501)</f>
        <v>4713</v>
      </c>
      <c r="G496" s="84">
        <f t="shared" si="126"/>
        <v>15392</v>
      </c>
      <c r="H496" s="84">
        <f t="shared" si="126"/>
        <v>13687</v>
      </c>
      <c r="I496" s="84">
        <f t="shared" si="126"/>
        <v>10793</v>
      </c>
      <c r="J496" s="84">
        <f t="shared" si="126"/>
        <v>10035</v>
      </c>
      <c r="K496" s="84">
        <f t="shared" si="126"/>
        <v>7307</v>
      </c>
      <c r="L496" s="84">
        <f t="shared" si="126"/>
        <v>8287</v>
      </c>
      <c r="M496" s="84">
        <f t="shared" si="126"/>
        <v>8071</v>
      </c>
      <c r="N496" s="84">
        <f t="shared" si="126"/>
        <v>7631</v>
      </c>
      <c r="O496" s="84">
        <f t="shared" si="126"/>
        <v>11898</v>
      </c>
      <c r="P496" s="84">
        <f>SUM(P497:P501)</f>
        <v>108014</v>
      </c>
    </row>
    <row r="497" spans="2:17" ht="9.9" hidden="1" customHeight="1" x14ac:dyDescent="0.25">
      <c r="B497" s="86"/>
      <c r="C497" s="87" t="s">
        <v>201</v>
      </c>
      <c r="D497" s="88">
        <v>497</v>
      </c>
      <c r="E497" s="88">
        <v>675</v>
      </c>
      <c r="F497" s="88">
        <v>184</v>
      </c>
      <c r="G497" s="123" t="s">
        <v>54</v>
      </c>
      <c r="H497" s="88">
        <v>0</v>
      </c>
      <c r="I497" s="88">
        <v>0</v>
      </c>
      <c r="J497" s="88">
        <v>0</v>
      </c>
      <c r="K497" s="88">
        <v>0</v>
      </c>
      <c r="L497" s="88" t="s">
        <v>54</v>
      </c>
      <c r="M497" s="88" t="s">
        <v>54</v>
      </c>
      <c r="N497" s="88">
        <v>0</v>
      </c>
      <c r="O497" s="88">
        <v>0</v>
      </c>
      <c r="P497" s="89">
        <f>SUM(D497:O497)</f>
        <v>1356</v>
      </c>
    </row>
    <row r="498" spans="2:17" ht="9.9" hidden="1" customHeight="1" x14ac:dyDescent="0.25">
      <c r="B498" s="86"/>
      <c r="C498" s="87" t="s">
        <v>26</v>
      </c>
      <c r="D498" s="88">
        <v>4134</v>
      </c>
      <c r="E498" s="88">
        <v>4009</v>
      </c>
      <c r="F498" s="88">
        <v>4235</v>
      </c>
      <c r="G498" s="88">
        <v>3184</v>
      </c>
      <c r="H498" s="88">
        <v>2819</v>
      </c>
      <c r="I498" s="88">
        <v>3319</v>
      </c>
      <c r="J498" s="88">
        <v>3204</v>
      </c>
      <c r="K498" s="88">
        <v>1370</v>
      </c>
      <c r="L498" s="88">
        <v>1064</v>
      </c>
      <c r="M498" s="88">
        <v>1128</v>
      </c>
      <c r="N498" s="88">
        <v>1145</v>
      </c>
      <c r="O498" s="88">
        <v>1377</v>
      </c>
      <c r="P498" s="89">
        <f>SUM(D498:O498)</f>
        <v>30988</v>
      </c>
    </row>
    <row r="499" spans="2:17" ht="9.9" hidden="1" customHeight="1" x14ac:dyDescent="0.25">
      <c r="B499" s="86"/>
      <c r="C499" s="87" t="s">
        <v>53</v>
      </c>
      <c r="D499" s="123" t="s">
        <v>54</v>
      </c>
      <c r="E499" s="123" t="s">
        <v>54</v>
      </c>
      <c r="F499" s="123" t="s">
        <v>54</v>
      </c>
      <c r="G499" s="88">
        <v>11904</v>
      </c>
      <c r="H499" s="88">
        <v>10324</v>
      </c>
      <c r="I499" s="88">
        <v>6925</v>
      </c>
      <c r="J499" s="88">
        <v>6366</v>
      </c>
      <c r="K499" s="88">
        <v>5596</v>
      </c>
      <c r="L499" s="88">
        <v>6861</v>
      </c>
      <c r="M499" s="88">
        <v>6586</v>
      </c>
      <c r="N499" s="88">
        <v>6115</v>
      </c>
      <c r="O499" s="88">
        <v>9682</v>
      </c>
      <c r="P499" s="89">
        <f>SUM(D499:O499)</f>
        <v>70359</v>
      </c>
    </row>
    <row r="500" spans="2:17" ht="9.9" hidden="1" customHeight="1" x14ac:dyDescent="0.25">
      <c r="B500" s="86"/>
      <c r="C500" s="129" t="s">
        <v>202</v>
      </c>
      <c r="D500" s="123">
        <v>486</v>
      </c>
      <c r="E500" s="123">
        <v>399</v>
      </c>
      <c r="F500" s="123">
        <v>294</v>
      </c>
      <c r="G500" s="88">
        <v>304</v>
      </c>
      <c r="H500" s="88">
        <v>544</v>
      </c>
      <c r="I500" s="88">
        <v>549</v>
      </c>
      <c r="J500" s="88">
        <v>465</v>
      </c>
      <c r="K500" s="88">
        <v>341</v>
      </c>
      <c r="L500" s="88">
        <v>362</v>
      </c>
      <c r="M500" s="88">
        <v>357</v>
      </c>
      <c r="N500" s="88">
        <v>371</v>
      </c>
      <c r="O500" s="88">
        <v>7</v>
      </c>
      <c r="P500" s="89">
        <f>SUM(D500:O500)</f>
        <v>4479</v>
      </c>
    </row>
    <row r="501" spans="2:17" ht="9.9" hidden="1" customHeight="1" x14ac:dyDescent="0.25">
      <c r="B501" s="90"/>
      <c r="C501" s="129" t="s">
        <v>57</v>
      </c>
      <c r="D501" s="123" t="s">
        <v>54</v>
      </c>
      <c r="E501" s="123" t="s">
        <v>54</v>
      </c>
      <c r="F501" s="123" t="s">
        <v>54</v>
      </c>
      <c r="G501" s="123" t="s">
        <v>54</v>
      </c>
      <c r="H501" s="123" t="s">
        <v>54</v>
      </c>
      <c r="I501" s="123" t="s">
        <v>54</v>
      </c>
      <c r="J501" s="123" t="s">
        <v>54</v>
      </c>
      <c r="K501" s="123" t="s">
        <v>54</v>
      </c>
      <c r="L501" s="123" t="s">
        <v>54</v>
      </c>
      <c r="M501" s="123" t="s">
        <v>54</v>
      </c>
      <c r="N501" s="123" t="s">
        <v>54</v>
      </c>
      <c r="O501" s="91">
        <v>832</v>
      </c>
      <c r="P501" s="89">
        <f>SUM(D501:O501)</f>
        <v>832</v>
      </c>
    </row>
    <row r="502" spans="2:17" ht="6" hidden="1" customHeight="1" x14ac:dyDescent="0.25">
      <c r="P502" s="354"/>
    </row>
    <row r="503" spans="2:17" hidden="1" x14ac:dyDescent="0.25">
      <c r="B503" s="82" t="s">
        <v>27</v>
      </c>
      <c r="C503" s="83"/>
      <c r="D503" s="84">
        <f>SUM(D504:D505)</f>
        <v>8134</v>
      </c>
      <c r="E503" s="84">
        <f t="shared" ref="E503:O503" si="127">SUM(E504:E505)</f>
        <v>7496</v>
      </c>
      <c r="F503" s="84">
        <f t="shared" si="127"/>
        <v>8003</v>
      </c>
      <c r="G503" s="84">
        <f t="shared" si="127"/>
        <v>7413</v>
      </c>
      <c r="H503" s="84">
        <f t="shared" si="127"/>
        <v>6236</v>
      </c>
      <c r="I503" s="84">
        <f t="shared" si="127"/>
        <v>6769</v>
      </c>
      <c r="J503" s="84">
        <f t="shared" si="127"/>
        <v>8982</v>
      </c>
      <c r="K503" s="84">
        <f t="shared" si="127"/>
        <v>6784</v>
      </c>
      <c r="L503" s="84">
        <f t="shared" si="127"/>
        <v>6210</v>
      </c>
      <c r="M503" s="84">
        <f t="shared" si="127"/>
        <v>7169</v>
      </c>
      <c r="N503" s="84">
        <f t="shared" si="127"/>
        <v>7449</v>
      </c>
      <c r="O503" s="84">
        <f t="shared" si="127"/>
        <v>12564</v>
      </c>
      <c r="P503" s="85">
        <f>SUM(P504:P505)</f>
        <v>93209</v>
      </c>
    </row>
    <row r="504" spans="2:17" ht="9.9" hidden="1" customHeight="1" x14ac:dyDescent="0.25">
      <c r="B504" s="86"/>
      <c r="C504" s="87" t="s">
        <v>52</v>
      </c>
      <c r="D504" s="100">
        <v>6978</v>
      </c>
      <c r="E504" s="100">
        <v>5918</v>
      </c>
      <c r="F504" s="88">
        <v>6557</v>
      </c>
      <c r="G504" s="101">
        <v>6262</v>
      </c>
      <c r="H504" s="88">
        <v>5339</v>
      </c>
      <c r="I504" s="98">
        <v>5946</v>
      </c>
      <c r="J504" s="98">
        <v>7945</v>
      </c>
      <c r="K504" s="88">
        <v>5882</v>
      </c>
      <c r="L504" s="88">
        <v>5432</v>
      </c>
      <c r="M504" s="88">
        <v>6292</v>
      </c>
      <c r="N504" s="88">
        <v>6560</v>
      </c>
      <c r="O504" s="88">
        <v>10586</v>
      </c>
      <c r="P504" s="89">
        <f>SUM(D504:O504)</f>
        <v>79697</v>
      </c>
    </row>
    <row r="505" spans="2:17" ht="9.9" hidden="1" customHeight="1" x14ac:dyDescent="0.25">
      <c r="B505" s="90"/>
      <c r="C505" s="87" t="s">
        <v>23</v>
      </c>
      <c r="D505" s="100">
        <v>1156</v>
      </c>
      <c r="E505" s="100">
        <v>1578</v>
      </c>
      <c r="F505" s="88">
        <v>1446</v>
      </c>
      <c r="G505" s="101">
        <v>1151</v>
      </c>
      <c r="H505" s="88">
        <v>897</v>
      </c>
      <c r="I505" s="98">
        <v>823</v>
      </c>
      <c r="J505" s="99">
        <v>1037</v>
      </c>
      <c r="K505" s="91">
        <v>902</v>
      </c>
      <c r="L505" s="91">
        <v>778</v>
      </c>
      <c r="M505" s="91">
        <v>877</v>
      </c>
      <c r="N505" s="91">
        <v>889</v>
      </c>
      <c r="O505" s="91">
        <v>1978</v>
      </c>
      <c r="P505" s="89">
        <f>SUM(D505:O505)</f>
        <v>13512</v>
      </c>
    </row>
    <row r="506" spans="2:17" ht="6" hidden="1" customHeight="1" x14ac:dyDescent="0.25">
      <c r="P506" s="354"/>
    </row>
    <row r="507" spans="2:17" ht="15" hidden="1" thickBot="1" x14ac:dyDescent="0.3">
      <c r="B507" s="18" t="s">
        <v>203</v>
      </c>
      <c r="C507" s="18"/>
    </row>
    <row r="508" spans="2:17" ht="12.75" hidden="1" customHeight="1" thickBot="1" x14ac:dyDescent="0.3">
      <c r="B508" s="437" t="s">
        <v>1</v>
      </c>
      <c r="C508" s="438"/>
      <c r="D508" s="21">
        <v>1</v>
      </c>
      <c r="E508" s="22">
        <v>2</v>
      </c>
      <c r="F508" s="22">
        <v>3</v>
      </c>
      <c r="G508" s="22">
        <v>4</v>
      </c>
      <c r="H508" s="22">
        <v>5</v>
      </c>
      <c r="I508" s="22">
        <v>6</v>
      </c>
      <c r="J508" s="22">
        <v>7</v>
      </c>
      <c r="K508" s="22">
        <v>8</v>
      </c>
      <c r="L508" s="22">
        <v>9</v>
      </c>
      <c r="M508" s="22">
        <v>10</v>
      </c>
      <c r="N508" s="22">
        <v>11</v>
      </c>
      <c r="O508" s="22">
        <v>12</v>
      </c>
      <c r="P508" s="23" t="s">
        <v>0</v>
      </c>
    </row>
    <row r="509" spans="2:17" ht="12.75" hidden="1" customHeight="1" x14ac:dyDescent="0.25">
      <c r="B509" s="445" t="s">
        <v>46</v>
      </c>
      <c r="C509" s="38" t="s">
        <v>21</v>
      </c>
      <c r="D509" s="39">
        <v>2077</v>
      </c>
      <c r="E509" s="40">
        <v>1923</v>
      </c>
      <c r="F509" s="39">
        <v>2533</v>
      </c>
      <c r="G509" s="40">
        <v>3084</v>
      </c>
      <c r="H509" s="40">
        <v>2944</v>
      </c>
      <c r="I509" s="40">
        <v>2775</v>
      </c>
      <c r="J509" s="40">
        <v>2707</v>
      </c>
      <c r="K509" s="40">
        <v>2650</v>
      </c>
      <c r="L509" s="40">
        <v>2197</v>
      </c>
      <c r="M509" s="40">
        <v>1958</v>
      </c>
      <c r="N509" s="40">
        <v>2343</v>
      </c>
      <c r="O509" s="40">
        <v>1416</v>
      </c>
      <c r="P509" s="41">
        <f>SUM(D509:O509)</f>
        <v>28607</v>
      </c>
      <c r="Q509" s="352"/>
    </row>
    <row r="510" spans="2:17" ht="12.75" hidden="1" customHeight="1" x14ac:dyDescent="0.25">
      <c r="B510" s="443"/>
      <c r="C510" s="75" t="s">
        <v>22</v>
      </c>
      <c r="D510" s="76">
        <v>166</v>
      </c>
      <c r="E510" s="77">
        <v>223</v>
      </c>
      <c r="F510" s="76">
        <v>190</v>
      </c>
      <c r="G510" s="77">
        <v>400</v>
      </c>
      <c r="H510" s="77">
        <v>378</v>
      </c>
      <c r="I510" s="77">
        <v>239</v>
      </c>
      <c r="J510" s="77">
        <v>248</v>
      </c>
      <c r="K510" s="77">
        <v>263</v>
      </c>
      <c r="L510" s="77">
        <v>301</v>
      </c>
      <c r="M510" s="77">
        <v>251</v>
      </c>
      <c r="N510" s="77">
        <v>239</v>
      </c>
      <c r="O510" s="77">
        <v>29</v>
      </c>
      <c r="P510" s="78">
        <f t="shared" ref="P510:P518" si="128">SUM(D510:O510)</f>
        <v>2927</v>
      </c>
    </row>
    <row r="511" spans="2:17" ht="12.75" hidden="1" customHeight="1" x14ac:dyDescent="0.25">
      <c r="B511" s="443"/>
      <c r="C511" s="75" t="s">
        <v>24</v>
      </c>
      <c r="D511" s="76">
        <f>D533</f>
        <v>6086</v>
      </c>
      <c r="E511" s="76">
        <f t="shared" ref="E511:N511" si="129">E533</f>
        <v>6853</v>
      </c>
      <c r="F511" s="76">
        <f t="shared" si="129"/>
        <v>8346</v>
      </c>
      <c r="G511" s="76">
        <f t="shared" si="129"/>
        <v>7965</v>
      </c>
      <c r="H511" s="76">
        <f t="shared" si="129"/>
        <v>8249</v>
      </c>
      <c r="I511" s="76">
        <f t="shared" si="129"/>
        <v>7051</v>
      </c>
      <c r="J511" s="76">
        <f t="shared" si="129"/>
        <v>7874</v>
      </c>
      <c r="K511" s="76">
        <f t="shared" si="129"/>
        <v>7905</v>
      </c>
      <c r="L511" s="76">
        <f t="shared" si="129"/>
        <v>9185</v>
      </c>
      <c r="M511" s="76">
        <f t="shared" si="129"/>
        <v>8521</v>
      </c>
      <c r="N511" s="76">
        <f t="shared" si="129"/>
        <v>8067</v>
      </c>
      <c r="O511" s="76">
        <f>O533</f>
        <v>7864</v>
      </c>
      <c r="P511" s="78">
        <f t="shared" si="128"/>
        <v>93966</v>
      </c>
    </row>
    <row r="512" spans="2:17" ht="12.75" hidden="1" customHeight="1" x14ac:dyDescent="0.25">
      <c r="B512" s="443"/>
      <c r="C512" s="28" t="s">
        <v>3</v>
      </c>
      <c r="D512" s="29">
        <v>763</v>
      </c>
      <c r="E512" s="30">
        <v>776</v>
      </c>
      <c r="F512" s="29">
        <v>1045</v>
      </c>
      <c r="G512" s="30">
        <v>918</v>
      </c>
      <c r="H512" s="30">
        <v>1059</v>
      </c>
      <c r="I512" s="30">
        <v>687</v>
      </c>
      <c r="J512" s="30">
        <v>921</v>
      </c>
      <c r="K512" s="30">
        <v>820</v>
      </c>
      <c r="L512" s="30">
        <v>921</v>
      </c>
      <c r="M512" s="30">
        <v>741</v>
      </c>
      <c r="N512" s="30">
        <v>995</v>
      </c>
      <c r="O512" s="30">
        <v>764</v>
      </c>
      <c r="P512" s="78">
        <f t="shared" si="128"/>
        <v>10410</v>
      </c>
    </row>
    <row r="513" spans="2:17" ht="12.75" hidden="1" customHeight="1" x14ac:dyDescent="0.25">
      <c r="B513" s="443"/>
      <c r="C513" s="73" t="s">
        <v>25</v>
      </c>
      <c r="D513" s="74">
        <f>D537</f>
        <v>7031</v>
      </c>
      <c r="E513" s="74">
        <f t="shared" ref="E513:L513" si="130">E537</f>
        <v>6787</v>
      </c>
      <c r="F513" s="74">
        <f t="shared" si="130"/>
        <v>8102</v>
      </c>
      <c r="G513" s="74">
        <f t="shared" si="130"/>
        <v>8730</v>
      </c>
      <c r="H513" s="74">
        <f t="shared" si="130"/>
        <v>8365</v>
      </c>
      <c r="I513" s="74">
        <f t="shared" si="130"/>
        <v>7365</v>
      </c>
      <c r="J513" s="74">
        <f t="shared" si="130"/>
        <v>7763</v>
      </c>
      <c r="K513" s="74">
        <f t="shared" si="130"/>
        <v>7389</v>
      </c>
      <c r="L513" s="74">
        <f t="shared" si="130"/>
        <v>6781</v>
      </c>
      <c r="M513" s="74">
        <f>M537</f>
        <v>7452</v>
      </c>
      <c r="N513" s="74">
        <f>N537</f>
        <v>7283</v>
      </c>
      <c r="O513" s="74">
        <f>O537</f>
        <v>6352</v>
      </c>
      <c r="P513" s="78">
        <f t="shared" si="128"/>
        <v>89400</v>
      </c>
    </row>
    <row r="514" spans="2:17" ht="12.75" hidden="1" customHeight="1" x14ac:dyDescent="0.25">
      <c r="B514" s="443"/>
      <c r="C514" s="73" t="s">
        <v>44</v>
      </c>
      <c r="D514" s="74">
        <v>299</v>
      </c>
      <c r="E514" s="74">
        <v>306</v>
      </c>
      <c r="F514" s="74">
        <v>531</v>
      </c>
      <c r="G514" s="74">
        <v>634</v>
      </c>
      <c r="H514" s="74">
        <v>703</v>
      </c>
      <c r="I514" s="74">
        <v>553</v>
      </c>
      <c r="J514" s="74">
        <v>721</v>
      </c>
      <c r="K514" s="74">
        <v>702</v>
      </c>
      <c r="L514" s="74">
        <v>430</v>
      </c>
      <c r="M514" s="74">
        <v>523</v>
      </c>
      <c r="N514" s="74">
        <v>403</v>
      </c>
      <c r="O514" s="74">
        <v>20</v>
      </c>
      <c r="P514" s="78">
        <f t="shared" si="128"/>
        <v>5825</v>
      </c>
    </row>
    <row r="515" spans="2:17" ht="12.75" hidden="1" customHeight="1" x14ac:dyDescent="0.25">
      <c r="B515" s="443"/>
      <c r="C515" s="73" t="s">
        <v>27</v>
      </c>
      <c r="D515" s="74">
        <v>8027</v>
      </c>
      <c r="E515" s="74">
        <f>6959+334</f>
        <v>7293</v>
      </c>
      <c r="F515" s="74">
        <f>7615+351</f>
        <v>7966</v>
      </c>
      <c r="G515" s="74">
        <f>7335+390</f>
        <v>7725</v>
      </c>
      <c r="H515" s="74">
        <f>7494+277</f>
        <v>7771</v>
      </c>
      <c r="I515" s="74">
        <f>7481+293</f>
        <v>7774</v>
      </c>
      <c r="J515" s="74">
        <f>7876+264</f>
        <v>8140</v>
      </c>
      <c r="K515" s="74">
        <f>6233+224</f>
        <v>6457</v>
      </c>
      <c r="L515" s="74">
        <v>5651</v>
      </c>
      <c r="M515" s="74">
        <v>8115</v>
      </c>
      <c r="N515" s="74">
        <v>5888</v>
      </c>
      <c r="O515" s="74">
        <f>7649+45</f>
        <v>7694</v>
      </c>
      <c r="P515" s="78">
        <f t="shared" si="128"/>
        <v>88501</v>
      </c>
    </row>
    <row r="516" spans="2:17" ht="12.75" hidden="1" customHeight="1" x14ac:dyDescent="0.25">
      <c r="B516" s="443"/>
      <c r="C516" s="28" t="s">
        <v>4</v>
      </c>
      <c r="D516" s="29">
        <v>1152</v>
      </c>
      <c r="E516" s="30">
        <v>942</v>
      </c>
      <c r="F516" s="29">
        <v>1211</v>
      </c>
      <c r="G516" s="30">
        <v>1155</v>
      </c>
      <c r="H516" s="30">
        <v>1154</v>
      </c>
      <c r="I516" s="30">
        <v>895</v>
      </c>
      <c r="J516" s="30">
        <v>1037</v>
      </c>
      <c r="K516" s="30">
        <v>799</v>
      </c>
      <c r="L516" s="30">
        <v>858</v>
      </c>
      <c r="M516" s="30">
        <v>1061</v>
      </c>
      <c r="N516" s="30">
        <v>775</v>
      </c>
      <c r="O516" s="30">
        <f>1100+8</f>
        <v>1108</v>
      </c>
      <c r="P516" s="78">
        <f t="shared" si="128"/>
        <v>12147</v>
      </c>
    </row>
    <row r="517" spans="2:17" ht="12.75" hidden="1" customHeight="1" x14ac:dyDescent="0.25">
      <c r="B517" s="443"/>
      <c r="C517" s="28" t="s">
        <v>5</v>
      </c>
      <c r="D517" s="29">
        <v>25</v>
      </c>
      <c r="E517" s="30">
        <v>29</v>
      </c>
      <c r="F517" s="29">
        <v>34</v>
      </c>
      <c r="G517" s="30">
        <v>56</v>
      </c>
      <c r="H517" s="30">
        <v>42</v>
      </c>
      <c r="I517" s="30">
        <v>28</v>
      </c>
      <c r="J517" s="30">
        <v>38</v>
      </c>
      <c r="K517" s="30">
        <v>32</v>
      </c>
      <c r="L517" s="30">
        <v>28</v>
      </c>
      <c r="M517" s="30">
        <v>29</v>
      </c>
      <c r="N517" s="30">
        <v>19</v>
      </c>
      <c r="O517" s="30">
        <v>25</v>
      </c>
      <c r="P517" s="78">
        <f t="shared" si="128"/>
        <v>385</v>
      </c>
    </row>
    <row r="518" spans="2:17" ht="12.75" hidden="1" customHeight="1" x14ac:dyDescent="0.25">
      <c r="B518" s="443"/>
      <c r="C518" s="28" t="s">
        <v>6</v>
      </c>
      <c r="D518" s="29">
        <v>1265</v>
      </c>
      <c r="E518" s="30">
        <v>1115</v>
      </c>
      <c r="F518" s="29">
        <v>1472</v>
      </c>
      <c r="G518" s="30">
        <v>1142</v>
      </c>
      <c r="H518" s="30">
        <v>1057</v>
      </c>
      <c r="I518" s="30">
        <v>1096</v>
      </c>
      <c r="J518" s="30">
        <v>1238</v>
      </c>
      <c r="K518" s="30">
        <v>981</v>
      </c>
      <c r="L518" s="30">
        <v>796</v>
      </c>
      <c r="M518" s="30">
        <v>1028</v>
      </c>
      <c r="N518" s="30">
        <v>784</v>
      </c>
      <c r="O518" s="30">
        <v>759</v>
      </c>
      <c r="P518" s="78">
        <f t="shared" si="128"/>
        <v>12733</v>
      </c>
    </row>
    <row r="519" spans="2:17" ht="12.75" hidden="1" customHeight="1" thickBot="1" x14ac:dyDescent="0.3">
      <c r="B519" s="432"/>
      <c r="C519" s="42" t="s">
        <v>0</v>
      </c>
      <c r="D519" s="43">
        <f t="shared" ref="D519:L519" si="131">SUM(D509:D518)</f>
        <v>26891</v>
      </c>
      <c r="E519" s="43">
        <f t="shared" si="131"/>
        <v>26247</v>
      </c>
      <c r="F519" s="43">
        <f t="shared" si="131"/>
        <v>31430</v>
      </c>
      <c r="G519" s="43">
        <f t="shared" si="131"/>
        <v>31809</v>
      </c>
      <c r="H519" s="43">
        <f t="shared" si="131"/>
        <v>31722</v>
      </c>
      <c r="I519" s="43">
        <f t="shared" si="131"/>
        <v>28463</v>
      </c>
      <c r="J519" s="43">
        <f t="shared" si="131"/>
        <v>30687</v>
      </c>
      <c r="K519" s="43">
        <f t="shared" si="131"/>
        <v>27998</v>
      </c>
      <c r="L519" s="43">
        <f t="shared" si="131"/>
        <v>27148</v>
      </c>
      <c r="M519" s="43">
        <f>SUM(M509:M518)</f>
        <v>29679</v>
      </c>
      <c r="N519" s="43">
        <f>SUM(N509:N518)</f>
        <v>26796</v>
      </c>
      <c r="O519" s="43">
        <f>SUM(O509:O518)</f>
        <v>26031</v>
      </c>
      <c r="P519" s="44">
        <f>SUM(P509:P518)</f>
        <v>344901</v>
      </c>
    </row>
    <row r="520" spans="2:17" ht="12.75" hidden="1" customHeight="1" x14ac:dyDescent="0.25">
      <c r="B520" s="441" t="s">
        <v>45</v>
      </c>
      <c r="C520" s="24" t="s">
        <v>7</v>
      </c>
      <c r="D520" s="25">
        <v>2341</v>
      </c>
      <c r="E520" s="26">
        <v>2633</v>
      </c>
      <c r="F520" s="26">
        <v>3024</v>
      </c>
      <c r="G520" s="26">
        <v>3414</v>
      </c>
      <c r="H520" s="26">
        <v>3348</v>
      </c>
      <c r="I520" s="26">
        <v>4233</v>
      </c>
      <c r="J520" s="26">
        <v>5872</v>
      </c>
      <c r="K520" s="26">
        <v>3409</v>
      </c>
      <c r="L520" s="26">
        <v>2829</v>
      </c>
      <c r="M520" s="26">
        <v>4029</v>
      </c>
      <c r="N520" s="26">
        <v>4405</v>
      </c>
      <c r="O520" s="26">
        <v>3308</v>
      </c>
      <c r="P520" s="41">
        <f>SUM(D520:O520)</f>
        <v>42845</v>
      </c>
    </row>
    <row r="521" spans="2:17" ht="12.75" hidden="1" customHeight="1" x14ac:dyDescent="0.25">
      <c r="B521" s="441"/>
      <c r="C521" s="28" t="s">
        <v>8</v>
      </c>
      <c r="D521" s="29">
        <v>6563</v>
      </c>
      <c r="E521" s="30">
        <v>5871</v>
      </c>
      <c r="F521" s="30">
        <v>7048</v>
      </c>
      <c r="G521" s="30">
        <v>7444</v>
      </c>
      <c r="H521" s="30">
        <v>7199</v>
      </c>
      <c r="I521" s="30">
        <v>7558</v>
      </c>
      <c r="J521" s="30">
        <v>7657</v>
      </c>
      <c r="K521" s="30">
        <v>4839</v>
      </c>
      <c r="L521" s="30">
        <v>5268</v>
      </c>
      <c r="M521" s="30">
        <v>6741</v>
      </c>
      <c r="N521" s="30">
        <v>7141</v>
      </c>
      <c r="O521" s="30">
        <v>5443</v>
      </c>
      <c r="P521" s="78">
        <f>SUM(D521:O521)</f>
        <v>78772</v>
      </c>
    </row>
    <row r="522" spans="2:17" ht="12.75" hidden="1" customHeight="1" x14ac:dyDescent="0.25">
      <c r="B522" s="441"/>
      <c r="C522" s="28" t="s">
        <v>55</v>
      </c>
      <c r="D522" s="29">
        <v>355</v>
      </c>
      <c r="E522" s="30">
        <v>296</v>
      </c>
      <c r="F522" s="30">
        <v>363</v>
      </c>
      <c r="G522" s="30">
        <v>352</v>
      </c>
      <c r="H522" s="30">
        <v>400</v>
      </c>
      <c r="I522" s="30">
        <v>358</v>
      </c>
      <c r="J522" s="30">
        <v>437</v>
      </c>
      <c r="K522" s="30">
        <v>403</v>
      </c>
      <c r="L522" s="30">
        <v>332</v>
      </c>
      <c r="M522" s="30">
        <v>390</v>
      </c>
      <c r="N522" s="30">
        <v>248</v>
      </c>
      <c r="O522" s="30">
        <v>278</v>
      </c>
      <c r="P522" s="31">
        <f>SUM(D522:O522)</f>
        <v>4212</v>
      </c>
    </row>
    <row r="523" spans="2:17" ht="12.75" hidden="1" customHeight="1" x14ac:dyDescent="0.25">
      <c r="B523" s="441"/>
      <c r="C523" s="28" t="s">
        <v>51</v>
      </c>
      <c r="D523" s="29">
        <v>0</v>
      </c>
      <c r="E523" s="30">
        <v>0</v>
      </c>
      <c r="F523" s="30">
        <v>280</v>
      </c>
      <c r="G523" s="30">
        <v>586</v>
      </c>
      <c r="H523" s="30">
        <v>1099</v>
      </c>
      <c r="I523" s="30">
        <v>1366</v>
      </c>
      <c r="J523" s="30">
        <v>1610</v>
      </c>
      <c r="K523" s="30">
        <v>811</v>
      </c>
      <c r="L523" s="30">
        <v>483</v>
      </c>
      <c r="M523" s="30">
        <v>1015</v>
      </c>
      <c r="N523" s="30">
        <v>732</v>
      </c>
      <c r="O523" s="30">
        <v>723</v>
      </c>
      <c r="P523" s="31">
        <f>SUM(D523:O523)</f>
        <v>8705</v>
      </c>
    </row>
    <row r="524" spans="2:17" ht="12.75" hidden="1" customHeight="1" thickBot="1" x14ac:dyDescent="0.3">
      <c r="B524" s="444"/>
      <c r="C524" s="35" t="s">
        <v>0</v>
      </c>
      <c r="D524" s="36">
        <f t="shared" ref="D524:P524" si="132">SUM(D520:D523)</f>
        <v>9259</v>
      </c>
      <c r="E524" s="36">
        <f t="shared" si="132"/>
        <v>8800</v>
      </c>
      <c r="F524" s="36">
        <f t="shared" si="132"/>
        <v>10715</v>
      </c>
      <c r="G524" s="36">
        <f t="shared" si="132"/>
        <v>11796</v>
      </c>
      <c r="H524" s="36">
        <f t="shared" si="132"/>
        <v>12046</v>
      </c>
      <c r="I524" s="36">
        <f t="shared" si="132"/>
        <v>13515</v>
      </c>
      <c r="J524" s="36">
        <f t="shared" si="132"/>
        <v>15576</v>
      </c>
      <c r="K524" s="36">
        <f t="shared" si="132"/>
        <v>9462</v>
      </c>
      <c r="L524" s="36">
        <f t="shared" si="132"/>
        <v>8912</v>
      </c>
      <c r="M524" s="36">
        <f t="shared" si="132"/>
        <v>12175</v>
      </c>
      <c r="N524" s="36">
        <f t="shared" si="132"/>
        <v>12526</v>
      </c>
      <c r="O524" s="36">
        <f t="shared" si="132"/>
        <v>9752</v>
      </c>
      <c r="P524" s="37">
        <f t="shared" si="132"/>
        <v>134534</v>
      </c>
      <c r="Q524" s="352"/>
    </row>
    <row r="525" spans="2:17" ht="12.75" hidden="1" customHeight="1" x14ac:dyDescent="0.25">
      <c r="B525" s="430" t="s">
        <v>9</v>
      </c>
      <c r="C525" s="38" t="s">
        <v>11</v>
      </c>
      <c r="D525" s="39">
        <v>4251</v>
      </c>
      <c r="E525" s="40">
        <v>3480</v>
      </c>
      <c r="F525" s="40">
        <v>4467</v>
      </c>
      <c r="G525" s="40">
        <v>4266</v>
      </c>
      <c r="H525" s="40">
        <v>3927</v>
      </c>
      <c r="I525" s="40">
        <v>3249</v>
      </c>
      <c r="J525" s="40">
        <v>3601</v>
      </c>
      <c r="K525" s="40">
        <v>2571</v>
      </c>
      <c r="L525" s="40">
        <v>2918</v>
      </c>
      <c r="M525" s="40">
        <v>3281</v>
      </c>
      <c r="N525" s="40">
        <v>3703</v>
      </c>
      <c r="O525" s="40">
        <v>3324</v>
      </c>
      <c r="P525" s="41">
        <f>SUM(D525:O525)</f>
        <v>43038</v>
      </c>
      <c r="Q525" s="352"/>
    </row>
    <row r="526" spans="2:17" ht="12.75" hidden="1" customHeight="1" x14ac:dyDescent="0.25">
      <c r="B526" s="431"/>
      <c r="C526" s="24" t="s">
        <v>12</v>
      </c>
      <c r="D526" s="25">
        <v>7805</v>
      </c>
      <c r="E526" s="26">
        <v>6860</v>
      </c>
      <c r="F526" s="26">
        <v>7234</v>
      </c>
      <c r="G526" s="26">
        <v>7944</v>
      </c>
      <c r="H526" s="26">
        <v>8337</v>
      </c>
      <c r="I526" s="26">
        <v>8491</v>
      </c>
      <c r="J526" s="26">
        <v>7778</v>
      </c>
      <c r="K526" s="26">
        <v>6287</v>
      </c>
      <c r="L526" s="26">
        <v>5629</v>
      </c>
      <c r="M526" s="26">
        <v>9085</v>
      </c>
      <c r="N526" s="26">
        <v>8277</v>
      </c>
      <c r="O526" s="26">
        <v>8302</v>
      </c>
      <c r="P526" s="27">
        <f>SUM(D526:O526)</f>
        <v>92029</v>
      </c>
    </row>
    <row r="527" spans="2:17" ht="12.75" hidden="1" customHeight="1" thickBot="1" x14ac:dyDescent="0.3">
      <c r="B527" s="432"/>
      <c r="C527" s="42" t="s">
        <v>0</v>
      </c>
      <c r="D527" s="43">
        <f t="shared" ref="D527:L527" si="133">SUM(D525:D526)</f>
        <v>12056</v>
      </c>
      <c r="E527" s="43">
        <f t="shared" si="133"/>
        <v>10340</v>
      </c>
      <c r="F527" s="43">
        <f t="shared" si="133"/>
        <v>11701</v>
      </c>
      <c r="G527" s="43">
        <f t="shared" si="133"/>
        <v>12210</v>
      </c>
      <c r="H527" s="43">
        <f t="shared" si="133"/>
        <v>12264</v>
      </c>
      <c r="I527" s="43">
        <f t="shared" si="133"/>
        <v>11740</v>
      </c>
      <c r="J527" s="43">
        <f t="shared" si="133"/>
        <v>11379</v>
      </c>
      <c r="K527" s="43">
        <f t="shared" si="133"/>
        <v>8858</v>
      </c>
      <c r="L527" s="43">
        <f t="shared" si="133"/>
        <v>8547</v>
      </c>
      <c r="M527" s="43">
        <f>SUM(M525:M526)</f>
        <v>12366</v>
      </c>
      <c r="N527" s="43">
        <f>SUM(N525:N526)</f>
        <v>11980</v>
      </c>
      <c r="O527" s="43">
        <f>SUM(O525:O526)</f>
        <v>11626</v>
      </c>
      <c r="P527" s="44">
        <f>SUM(P525:P526)</f>
        <v>135067</v>
      </c>
    </row>
    <row r="528" spans="2:17" ht="12.75" hidden="1" customHeight="1" x14ac:dyDescent="0.25">
      <c r="B528" s="430" t="s">
        <v>10</v>
      </c>
      <c r="C528" s="38" t="s">
        <v>13</v>
      </c>
      <c r="D528" s="39">
        <v>553</v>
      </c>
      <c r="E528" s="40">
        <v>714</v>
      </c>
      <c r="F528" s="40">
        <v>620</v>
      </c>
      <c r="G528" s="40">
        <v>640</v>
      </c>
      <c r="H528" s="40">
        <v>684</v>
      </c>
      <c r="I528" s="40">
        <v>630</v>
      </c>
      <c r="J528" s="40">
        <v>632</v>
      </c>
      <c r="K528" s="40">
        <v>478</v>
      </c>
      <c r="L528" s="40">
        <v>479</v>
      </c>
      <c r="M528" s="40">
        <v>808</v>
      </c>
      <c r="N528" s="40">
        <v>725</v>
      </c>
      <c r="O528" s="40">
        <v>783</v>
      </c>
      <c r="P528" s="41">
        <f>SUM(D528:O528)</f>
        <v>7746</v>
      </c>
      <c r="Q528" s="352"/>
    </row>
    <row r="529" spans="2:17" ht="12.75" hidden="1" customHeight="1" x14ac:dyDescent="0.25">
      <c r="B529" s="431"/>
      <c r="C529" s="24" t="s">
        <v>14</v>
      </c>
      <c r="D529" s="25">
        <v>1452</v>
      </c>
      <c r="E529" s="26">
        <v>1388</v>
      </c>
      <c r="F529" s="26">
        <v>1590</v>
      </c>
      <c r="G529" s="26">
        <v>1910</v>
      </c>
      <c r="H529" s="26">
        <v>1226</v>
      </c>
      <c r="I529" s="26">
        <v>1200</v>
      </c>
      <c r="J529" s="26">
        <v>1028</v>
      </c>
      <c r="K529" s="26">
        <v>884</v>
      </c>
      <c r="L529" s="26">
        <v>1171</v>
      </c>
      <c r="M529" s="26">
        <v>2525</v>
      </c>
      <c r="N529" s="26">
        <v>2275</v>
      </c>
      <c r="O529" s="26">
        <v>1968</v>
      </c>
      <c r="P529" s="27">
        <f>SUM(D529:O529)</f>
        <v>18617</v>
      </c>
    </row>
    <row r="530" spans="2:17" ht="12.75" hidden="1" customHeight="1" thickBot="1" x14ac:dyDescent="0.3">
      <c r="B530" s="432"/>
      <c r="C530" s="42" t="s">
        <v>0</v>
      </c>
      <c r="D530" s="43">
        <f t="shared" ref="D530:O530" si="134">SUM(D528:D529)</f>
        <v>2005</v>
      </c>
      <c r="E530" s="43">
        <f t="shared" si="134"/>
        <v>2102</v>
      </c>
      <c r="F530" s="43">
        <f t="shared" si="134"/>
        <v>2210</v>
      </c>
      <c r="G530" s="43">
        <f t="shared" si="134"/>
        <v>2550</v>
      </c>
      <c r="H530" s="43">
        <f t="shared" si="134"/>
        <v>1910</v>
      </c>
      <c r="I530" s="43">
        <f t="shared" si="134"/>
        <v>1830</v>
      </c>
      <c r="J530" s="43">
        <f t="shared" si="134"/>
        <v>1660</v>
      </c>
      <c r="K530" s="43">
        <f t="shared" si="134"/>
        <v>1362</v>
      </c>
      <c r="L530" s="43">
        <f t="shared" si="134"/>
        <v>1650</v>
      </c>
      <c r="M530" s="43">
        <f t="shared" si="134"/>
        <v>3333</v>
      </c>
      <c r="N530" s="43">
        <f t="shared" si="134"/>
        <v>3000</v>
      </c>
      <c r="O530" s="43">
        <f t="shared" si="134"/>
        <v>2751</v>
      </c>
      <c r="P530" s="44">
        <f>SUM(P528:P529)</f>
        <v>26363</v>
      </c>
    </row>
    <row r="531" spans="2:17" ht="12.75" hidden="1" customHeight="1" thickBot="1" x14ac:dyDescent="0.3">
      <c r="B531" s="435" t="s">
        <v>2</v>
      </c>
      <c r="C531" s="436"/>
      <c r="D531" s="45">
        <f t="shared" ref="D531:O531" si="135">D519+D524+D530+D527</f>
        <v>50211</v>
      </c>
      <c r="E531" s="45">
        <f t="shared" si="135"/>
        <v>47489</v>
      </c>
      <c r="F531" s="45">
        <f t="shared" si="135"/>
        <v>56056</v>
      </c>
      <c r="G531" s="45">
        <f t="shared" si="135"/>
        <v>58365</v>
      </c>
      <c r="H531" s="45">
        <f t="shared" si="135"/>
        <v>57942</v>
      </c>
      <c r="I531" s="45">
        <f t="shared" si="135"/>
        <v>55548</v>
      </c>
      <c r="J531" s="45">
        <f t="shared" si="135"/>
        <v>59302</v>
      </c>
      <c r="K531" s="45">
        <f t="shared" si="135"/>
        <v>47680</v>
      </c>
      <c r="L531" s="45">
        <f t="shared" si="135"/>
        <v>46257</v>
      </c>
      <c r="M531" s="45">
        <f t="shared" si="135"/>
        <v>57553</v>
      </c>
      <c r="N531" s="45">
        <f t="shared" si="135"/>
        <v>54302</v>
      </c>
      <c r="O531" s="45">
        <f t="shared" si="135"/>
        <v>50160</v>
      </c>
      <c r="P531" s="45">
        <f>SUM(P519,P524,P527,P530)</f>
        <v>640865</v>
      </c>
      <c r="Q531" s="352"/>
    </row>
    <row r="532" spans="2:17" ht="9.6" hidden="1" customHeight="1" x14ac:dyDescent="0.25">
      <c r="J532" s="116"/>
    </row>
    <row r="533" spans="2:17" hidden="1" x14ac:dyDescent="0.25">
      <c r="B533" s="82" t="s">
        <v>24</v>
      </c>
      <c r="C533" s="83"/>
      <c r="D533" s="84">
        <f>SUM(D534:D535)</f>
        <v>6086</v>
      </c>
      <c r="E533" s="84">
        <f t="shared" ref="E533:O533" si="136">SUM(E534:E535)</f>
        <v>6853</v>
      </c>
      <c r="F533" s="84">
        <f t="shared" si="136"/>
        <v>8346</v>
      </c>
      <c r="G533" s="84">
        <f t="shared" si="136"/>
        <v>7965</v>
      </c>
      <c r="H533" s="84">
        <f t="shared" si="136"/>
        <v>8249</v>
      </c>
      <c r="I533" s="84">
        <f t="shared" si="136"/>
        <v>7051</v>
      </c>
      <c r="J533" s="84">
        <f t="shared" si="136"/>
        <v>7874</v>
      </c>
      <c r="K533" s="84">
        <f t="shared" si="136"/>
        <v>7905</v>
      </c>
      <c r="L533" s="84">
        <f t="shared" si="136"/>
        <v>9185</v>
      </c>
      <c r="M533" s="84">
        <f t="shared" si="136"/>
        <v>8521</v>
      </c>
      <c r="N533" s="84">
        <f t="shared" si="136"/>
        <v>8067</v>
      </c>
      <c r="O533" s="84">
        <f t="shared" si="136"/>
        <v>7864</v>
      </c>
      <c r="P533" s="85">
        <f>SUM(P534:P535)</f>
        <v>93966</v>
      </c>
    </row>
    <row r="534" spans="2:17" ht="9.9" hidden="1" customHeight="1" x14ac:dyDescent="0.25">
      <c r="B534" s="86"/>
      <c r="C534" s="87" t="s">
        <v>28</v>
      </c>
      <c r="D534" s="100">
        <v>6019</v>
      </c>
      <c r="E534" s="100">
        <v>6816</v>
      </c>
      <c r="F534" s="88">
        <v>8263</v>
      </c>
      <c r="G534" s="101">
        <f>7878+35</f>
        <v>7913</v>
      </c>
      <c r="H534" s="88">
        <f>8096+95</f>
        <v>8191</v>
      </c>
      <c r="I534" s="98">
        <f>6941+48</f>
        <v>6989</v>
      </c>
      <c r="J534" s="98">
        <f>7787+44</f>
        <v>7831</v>
      </c>
      <c r="K534" s="88">
        <f>7816+41</f>
        <v>7857</v>
      </c>
      <c r="L534" s="88">
        <v>9148</v>
      </c>
      <c r="M534" s="88">
        <f>8448+38</f>
        <v>8486</v>
      </c>
      <c r="N534" s="88">
        <v>8033</v>
      </c>
      <c r="O534" s="88">
        <v>7838</v>
      </c>
      <c r="P534" s="89">
        <f>SUM(D534:O534)</f>
        <v>93384</v>
      </c>
    </row>
    <row r="535" spans="2:17" ht="9.9" hidden="1" customHeight="1" x14ac:dyDescent="0.25">
      <c r="B535" s="90"/>
      <c r="C535" s="87" t="s">
        <v>23</v>
      </c>
      <c r="D535" s="100">
        <v>67</v>
      </c>
      <c r="E535" s="100">
        <v>37</v>
      </c>
      <c r="F535" s="88">
        <v>83</v>
      </c>
      <c r="G535" s="101">
        <v>52</v>
      </c>
      <c r="H535" s="88">
        <v>58</v>
      </c>
      <c r="I535" s="98">
        <v>62</v>
      </c>
      <c r="J535" s="99">
        <v>43</v>
      </c>
      <c r="K535" s="91">
        <v>48</v>
      </c>
      <c r="L535" s="91">
        <v>37</v>
      </c>
      <c r="M535" s="91">
        <v>35</v>
      </c>
      <c r="N535" s="91">
        <v>34</v>
      </c>
      <c r="O535" s="91">
        <v>26</v>
      </c>
      <c r="P535" s="89">
        <f>SUM(D535:O535)</f>
        <v>582</v>
      </c>
    </row>
    <row r="536" spans="2:17" ht="6" hidden="1" customHeight="1" x14ac:dyDescent="0.25">
      <c r="G536" s="92"/>
      <c r="L536" s="92"/>
      <c r="P536" s="46"/>
      <c r="Q536" s="115"/>
    </row>
    <row r="537" spans="2:17" hidden="1" x14ac:dyDescent="0.25">
      <c r="B537" s="93" t="s">
        <v>25</v>
      </c>
      <c r="C537" s="94"/>
      <c r="D537" s="84">
        <f t="shared" ref="D537:P537" si="137">SUM(D538:D540)</f>
        <v>7031</v>
      </c>
      <c r="E537" s="84">
        <f t="shared" si="137"/>
        <v>6787</v>
      </c>
      <c r="F537" s="84">
        <f t="shared" si="137"/>
        <v>8102</v>
      </c>
      <c r="G537" s="84">
        <f t="shared" si="137"/>
        <v>8730</v>
      </c>
      <c r="H537" s="84">
        <f t="shared" si="137"/>
        <v>8365</v>
      </c>
      <c r="I537" s="84">
        <f t="shared" si="137"/>
        <v>7365</v>
      </c>
      <c r="J537" s="84">
        <f t="shared" si="137"/>
        <v>7763</v>
      </c>
      <c r="K537" s="84">
        <f t="shared" si="137"/>
        <v>7389</v>
      </c>
      <c r="L537" s="84">
        <f t="shared" si="137"/>
        <v>6781</v>
      </c>
      <c r="M537" s="84">
        <f t="shared" si="137"/>
        <v>7452</v>
      </c>
      <c r="N537" s="84">
        <f t="shared" si="137"/>
        <v>7283</v>
      </c>
      <c r="O537" s="84">
        <f t="shared" si="137"/>
        <v>6352</v>
      </c>
      <c r="P537" s="84">
        <f t="shared" si="137"/>
        <v>89400</v>
      </c>
    </row>
    <row r="538" spans="2:17" ht="9.9" hidden="1" customHeight="1" x14ac:dyDescent="0.25">
      <c r="B538" s="86"/>
      <c r="C538" s="87" t="s">
        <v>201</v>
      </c>
      <c r="D538" s="88">
        <v>507</v>
      </c>
      <c r="E538" s="88">
        <f>25+387</f>
        <v>412</v>
      </c>
      <c r="F538" s="88">
        <f>54+464</f>
        <v>518</v>
      </c>
      <c r="G538" s="88">
        <f>26+419</f>
        <v>445</v>
      </c>
      <c r="H538" s="88">
        <f>24+400</f>
        <v>424</v>
      </c>
      <c r="I538" s="88">
        <f>8+345</f>
        <v>353</v>
      </c>
      <c r="J538" s="88">
        <v>300</v>
      </c>
      <c r="K538" s="88">
        <f>145+284</f>
        <v>429</v>
      </c>
      <c r="L538" s="88">
        <v>428</v>
      </c>
      <c r="M538" s="88">
        <v>497</v>
      </c>
      <c r="N538" s="88">
        <v>667</v>
      </c>
      <c r="O538" s="88">
        <v>458</v>
      </c>
      <c r="P538" s="89">
        <f>SUM(D538:O538)</f>
        <v>5438</v>
      </c>
    </row>
    <row r="539" spans="2:17" ht="9.9" hidden="1" customHeight="1" x14ac:dyDescent="0.25">
      <c r="B539" s="86"/>
      <c r="C539" s="87" t="s">
        <v>26</v>
      </c>
      <c r="D539" s="88">
        <v>5471</v>
      </c>
      <c r="E539" s="88">
        <f>3782+1683</f>
        <v>5465</v>
      </c>
      <c r="F539" s="88">
        <f>3937+2345</f>
        <v>6282</v>
      </c>
      <c r="G539" s="88">
        <f>4294+2658</f>
        <v>6952</v>
      </c>
      <c r="H539" s="88">
        <f>4380+2333</f>
        <v>6713</v>
      </c>
      <c r="I539" s="88">
        <f>3694+1999</f>
        <v>5693</v>
      </c>
      <c r="J539" s="88">
        <f>4209+1832</f>
        <v>6041</v>
      </c>
      <c r="K539" s="88">
        <f>4222+1692</f>
        <v>5914</v>
      </c>
      <c r="L539" s="88">
        <v>5250</v>
      </c>
      <c r="M539" s="88">
        <v>5741</v>
      </c>
      <c r="N539" s="88">
        <v>5724</v>
      </c>
      <c r="O539" s="88">
        <f>3487+1831</f>
        <v>5318</v>
      </c>
      <c r="P539" s="89">
        <f>SUM(D539:O539)</f>
        <v>70564</v>
      </c>
    </row>
    <row r="540" spans="2:17" ht="9.9" hidden="1" customHeight="1" x14ac:dyDescent="0.25">
      <c r="B540" s="90"/>
      <c r="C540" s="87" t="s">
        <v>23</v>
      </c>
      <c r="D540" s="91">
        <v>1053</v>
      </c>
      <c r="E540" s="91">
        <v>910</v>
      </c>
      <c r="F540" s="91">
        <v>1302</v>
      </c>
      <c r="G540" s="91">
        <v>1333</v>
      </c>
      <c r="H540" s="91">
        <v>1228</v>
      </c>
      <c r="I540" s="91">
        <v>1319</v>
      </c>
      <c r="J540" s="91">
        <v>1422</v>
      </c>
      <c r="K540" s="91">
        <v>1046</v>
      </c>
      <c r="L540" s="91">
        <v>1103</v>
      </c>
      <c r="M540" s="91">
        <v>1214</v>
      </c>
      <c r="N540" s="91">
        <v>892</v>
      </c>
      <c r="O540" s="91">
        <v>576</v>
      </c>
      <c r="P540" s="89">
        <f>SUM(D540:O540)</f>
        <v>13398</v>
      </c>
    </row>
    <row r="541" spans="2:17" ht="10.8" hidden="1" customHeight="1" x14ac:dyDescent="0.25"/>
    <row r="542" spans="2:17" ht="15" hidden="1" thickBot="1" x14ac:dyDescent="0.3">
      <c r="B542" s="18" t="s">
        <v>204</v>
      </c>
      <c r="C542" s="18"/>
    </row>
    <row r="543" spans="2:17" ht="12.75" hidden="1" customHeight="1" thickBot="1" x14ac:dyDescent="0.3">
      <c r="B543" s="437" t="s">
        <v>1</v>
      </c>
      <c r="C543" s="438"/>
      <c r="D543" s="21">
        <v>1</v>
      </c>
      <c r="E543" s="22">
        <v>2</v>
      </c>
      <c r="F543" s="22">
        <v>3</v>
      </c>
      <c r="G543" s="22">
        <v>4</v>
      </c>
      <c r="H543" s="22">
        <v>5</v>
      </c>
      <c r="I543" s="22">
        <v>6</v>
      </c>
      <c r="J543" s="22">
        <v>7</v>
      </c>
      <c r="K543" s="22">
        <v>8</v>
      </c>
      <c r="L543" s="22">
        <v>9</v>
      </c>
      <c r="M543" s="22">
        <v>10</v>
      </c>
      <c r="N543" s="22">
        <v>11</v>
      </c>
      <c r="O543" s="22">
        <v>12</v>
      </c>
      <c r="P543" s="23" t="s">
        <v>0</v>
      </c>
    </row>
    <row r="544" spans="2:17" ht="12.75" hidden="1" customHeight="1" x14ac:dyDescent="0.25">
      <c r="B544" s="443" t="s">
        <v>206</v>
      </c>
      <c r="C544" s="24" t="s">
        <v>207</v>
      </c>
      <c r="D544" s="25">
        <v>0</v>
      </c>
      <c r="E544" s="26">
        <v>0</v>
      </c>
      <c r="F544" s="25">
        <v>0</v>
      </c>
      <c r="G544" s="26">
        <v>0</v>
      </c>
      <c r="H544" s="26"/>
      <c r="I544" s="26"/>
      <c r="J544" s="26"/>
      <c r="K544" s="26"/>
      <c r="L544" s="26"/>
      <c r="M544" s="26"/>
      <c r="N544" s="26"/>
      <c r="O544" s="26"/>
      <c r="P544" s="27">
        <f t="shared" ref="P544:P555" si="138">SUM(D544:O544)</f>
        <v>0</v>
      </c>
    </row>
    <row r="545" spans="2:18" ht="12.75" hidden="1" customHeight="1" x14ac:dyDescent="0.25">
      <c r="B545" s="443"/>
      <c r="C545" s="28" t="s">
        <v>208</v>
      </c>
      <c r="D545" s="29">
        <v>0</v>
      </c>
      <c r="E545" s="30">
        <v>0</v>
      </c>
      <c r="F545" s="29">
        <v>0</v>
      </c>
      <c r="G545" s="30">
        <v>0</v>
      </c>
      <c r="H545" s="30"/>
      <c r="I545" s="30"/>
      <c r="J545" s="30"/>
      <c r="K545" s="30"/>
      <c r="L545" s="30"/>
      <c r="M545" s="30"/>
      <c r="N545" s="30"/>
      <c r="O545" s="30"/>
      <c r="P545" s="31">
        <f t="shared" si="138"/>
        <v>0</v>
      </c>
    </row>
    <row r="546" spans="2:18" ht="12.75" hidden="1" customHeight="1" x14ac:dyDescent="0.25">
      <c r="B546" s="443"/>
      <c r="C546" s="28" t="s">
        <v>21</v>
      </c>
      <c r="D546" s="29">
        <v>1749</v>
      </c>
      <c r="E546" s="30">
        <v>2371</v>
      </c>
      <c r="F546" s="29">
        <v>2843</v>
      </c>
      <c r="G546" s="30">
        <v>3410</v>
      </c>
      <c r="H546" s="30">
        <v>2614</v>
      </c>
      <c r="I546" s="30">
        <v>2556</v>
      </c>
      <c r="J546" s="30">
        <v>3200</v>
      </c>
      <c r="K546" s="30">
        <v>1546</v>
      </c>
      <c r="L546" s="30">
        <v>2594</v>
      </c>
      <c r="M546" s="30">
        <v>2582</v>
      </c>
      <c r="N546" s="30">
        <v>2683</v>
      </c>
      <c r="O546" s="30">
        <v>2382</v>
      </c>
      <c r="P546" s="31">
        <f>SUM(D546:O546)</f>
        <v>30530</v>
      </c>
      <c r="Q546" s="352"/>
    </row>
    <row r="547" spans="2:18" ht="12.75" hidden="1" customHeight="1" x14ac:dyDescent="0.25">
      <c r="B547" s="443"/>
      <c r="C547" s="75" t="s">
        <v>22</v>
      </c>
      <c r="D547" s="76">
        <v>396</v>
      </c>
      <c r="E547" s="77">
        <v>326</v>
      </c>
      <c r="F547" s="76">
        <v>343</v>
      </c>
      <c r="G547" s="77">
        <v>429</v>
      </c>
      <c r="H547" s="77">
        <v>620</v>
      </c>
      <c r="I547" s="77">
        <v>592</v>
      </c>
      <c r="J547" s="77">
        <v>471</v>
      </c>
      <c r="K547" s="77">
        <v>337</v>
      </c>
      <c r="L547" s="77">
        <v>469</v>
      </c>
      <c r="M547" s="77">
        <v>340</v>
      </c>
      <c r="N547" s="77">
        <v>346</v>
      </c>
      <c r="O547" s="77">
        <v>310</v>
      </c>
      <c r="P547" s="78">
        <f>SUM(D547:O547)</f>
        <v>4979</v>
      </c>
    </row>
    <row r="548" spans="2:18" ht="12.75" hidden="1" customHeight="1" x14ac:dyDescent="0.25">
      <c r="B548" s="443"/>
      <c r="C548" s="75" t="s">
        <v>24</v>
      </c>
      <c r="D548" s="76">
        <f>D569</f>
        <v>7255</v>
      </c>
      <c r="E548" s="76">
        <f t="shared" ref="E548:O548" si="139">E569</f>
        <v>9305</v>
      </c>
      <c r="F548" s="76">
        <f t="shared" si="139"/>
        <v>10210</v>
      </c>
      <c r="G548" s="76">
        <f t="shared" si="139"/>
        <v>9797</v>
      </c>
      <c r="H548" s="76">
        <f t="shared" si="139"/>
        <v>8758</v>
      </c>
      <c r="I548" s="76">
        <f t="shared" si="139"/>
        <v>9822</v>
      </c>
      <c r="J548" s="76">
        <f t="shared" si="139"/>
        <v>10177</v>
      </c>
      <c r="K548" s="76">
        <f t="shared" si="139"/>
        <v>5629</v>
      </c>
      <c r="L548" s="76">
        <f t="shared" si="139"/>
        <v>10303</v>
      </c>
      <c r="M548" s="76">
        <f t="shared" si="139"/>
        <v>9812</v>
      </c>
      <c r="N548" s="76">
        <f t="shared" si="139"/>
        <v>9932</v>
      </c>
      <c r="O548" s="76">
        <f t="shared" si="139"/>
        <v>10290</v>
      </c>
      <c r="P548" s="78">
        <f t="shared" si="138"/>
        <v>111290</v>
      </c>
    </row>
    <row r="549" spans="2:18" ht="12.75" hidden="1" customHeight="1" x14ac:dyDescent="0.25">
      <c r="B549" s="443"/>
      <c r="C549" s="28" t="s">
        <v>3</v>
      </c>
      <c r="D549" s="29">
        <v>1723</v>
      </c>
      <c r="E549" s="30">
        <v>1293</v>
      </c>
      <c r="F549" s="29">
        <v>1535</v>
      </c>
      <c r="G549" s="30">
        <v>1467</v>
      </c>
      <c r="H549" s="30">
        <v>1232</v>
      </c>
      <c r="I549" s="30">
        <v>1305</v>
      </c>
      <c r="J549" s="30">
        <v>1268</v>
      </c>
      <c r="K549" s="30">
        <v>926</v>
      </c>
      <c r="L549" s="30">
        <v>1231</v>
      </c>
      <c r="M549" s="30">
        <v>1097</v>
      </c>
      <c r="N549" s="30">
        <v>1140</v>
      </c>
      <c r="O549" s="30">
        <v>1181</v>
      </c>
      <c r="P549" s="31">
        <f t="shared" si="138"/>
        <v>15398</v>
      </c>
    </row>
    <row r="550" spans="2:18" ht="12.75" hidden="1" customHeight="1" x14ac:dyDescent="0.25">
      <c r="B550" s="443"/>
      <c r="C550" s="73" t="s">
        <v>25</v>
      </c>
      <c r="D550" s="74">
        <f>D573</f>
        <v>7619</v>
      </c>
      <c r="E550" s="74">
        <f t="shared" ref="E550:O550" si="140">E573</f>
        <v>7640</v>
      </c>
      <c r="F550" s="74">
        <f t="shared" si="140"/>
        <v>8469</v>
      </c>
      <c r="G550" s="74">
        <f t="shared" si="140"/>
        <v>9124</v>
      </c>
      <c r="H550" s="74">
        <f t="shared" si="140"/>
        <v>9236</v>
      </c>
      <c r="I550" s="74">
        <f t="shared" si="140"/>
        <v>7505</v>
      </c>
      <c r="J550" s="74">
        <f t="shared" si="140"/>
        <v>8318</v>
      </c>
      <c r="K550" s="74">
        <f t="shared" si="140"/>
        <v>6784</v>
      </c>
      <c r="L550" s="74">
        <f t="shared" si="140"/>
        <v>10820</v>
      </c>
      <c r="M550" s="74">
        <f>M573</f>
        <v>9834</v>
      </c>
      <c r="N550" s="74">
        <f t="shared" si="140"/>
        <v>8997</v>
      </c>
      <c r="O550" s="74">
        <f t="shared" si="140"/>
        <v>9648</v>
      </c>
      <c r="P550" s="355">
        <f t="shared" si="138"/>
        <v>103994</v>
      </c>
    </row>
    <row r="551" spans="2:18" ht="12.75" hidden="1" customHeight="1" x14ac:dyDescent="0.25">
      <c r="B551" s="443"/>
      <c r="C551" s="73" t="s">
        <v>44</v>
      </c>
      <c r="D551" s="74">
        <f>D578</f>
        <v>544</v>
      </c>
      <c r="E551" s="74">
        <f>E578</f>
        <v>1641</v>
      </c>
      <c r="F551" s="74">
        <f t="shared" ref="F551:O551" si="141">F578</f>
        <v>1019</v>
      </c>
      <c r="G551" s="74">
        <v>756</v>
      </c>
      <c r="H551" s="74">
        <f t="shared" si="141"/>
        <v>574</v>
      </c>
      <c r="I551" s="74">
        <f t="shared" si="141"/>
        <v>450</v>
      </c>
      <c r="J551" s="74">
        <f t="shared" si="141"/>
        <v>469</v>
      </c>
      <c r="K551" s="74">
        <f t="shared" si="141"/>
        <v>613</v>
      </c>
      <c r="L551" s="74">
        <f t="shared" si="141"/>
        <v>1561</v>
      </c>
      <c r="M551" s="74">
        <v>1241</v>
      </c>
      <c r="N551" s="74">
        <f t="shared" si="141"/>
        <v>739</v>
      </c>
      <c r="O551" s="74">
        <f t="shared" si="141"/>
        <v>734</v>
      </c>
      <c r="P551" s="355">
        <f>SUM(D551:O551)</f>
        <v>10341</v>
      </c>
    </row>
    <row r="552" spans="2:18" ht="12.75" hidden="1" customHeight="1" x14ac:dyDescent="0.25">
      <c r="B552" s="443"/>
      <c r="C552" s="73" t="s">
        <v>27</v>
      </c>
      <c r="D552" s="74">
        <v>6984</v>
      </c>
      <c r="E552" s="74">
        <v>9337</v>
      </c>
      <c r="F552" s="74">
        <v>8019</v>
      </c>
      <c r="G552" s="74">
        <v>7825</v>
      </c>
      <c r="H552" s="74">
        <v>7705</v>
      </c>
      <c r="I552" s="74">
        <v>6822</v>
      </c>
      <c r="J552" s="74">
        <v>6788</v>
      </c>
      <c r="K552" s="74">
        <v>5343</v>
      </c>
      <c r="L552" s="74">
        <v>7086</v>
      </c>
      <c r="M552" s="74">
        <v>6845</v>
      </c>
      <c r="N552" s="74">
        <v>7736</v>
      </c>
      <c r="O552" s="74">
        <v>8030</v>
      </c>
      <c r="P552" s="355">
        <f t="shared" si="138"/>
        <v>88520</v>
      </c>
    </row>
    <row r="553" spans="2:18" ht="12.75" hidden="1" customHeight="1" x14ac:dyDescent="0.25">
      <c r="B553" s="443"/>
      <c r="C553" s="28" t="s">
        <v>4</v>
      </c>
      <c r="D553" s="29">
        <v>1567</v>
      </c>
      <c r="E553" s="30">
        <v>1540</v>
      </c>
      <c r="F553" s="29">
        <v>1560</v>
      </c>
      <c r="G553" s="30">
        <v>1611</v>
      </c>
      <c r="H553" s="30">
        <v>1295</v>
      </c>
      <c r="I553" s="30">
        <v>1784</v>
      </c>
      <c r="J553" s="30">
        <v>1620</v>
      </c>
      <c r="K553" s="30">
        <v>1066</v>
      </c>
      <c r="L553" s="30">
        <v>1946</v>
      </c>
      <c r="M553" s="30">
        <v>1392</v>
      </c>
      <c r="N553" s="30">
        <v>1088</v>
      </c>
      <c r="O553" s="30">
        <v>1607</v>
      </c>
      <c r="P553" s="31">
        <f t="shared" si="138"/>
        <v>18076</v>
      </c>
    </row>
    <row r="554" spans="2:18" ht="12.75" hidden="1" customHeight="1" x14ac:dyDescent="0.25">
      <c r="B554" s="443"/>
      <c r="C554" s="28" t="s">
        <v>5</v>
      </c>
      <c r="D554" s="29">
        <v>97</v>
      </c>
      <c r="E554" s="30">
        <v>92</v>
      </c>
      <c r="F554" s="29">
        <v>110</v>
      </c>
      <c r="G554" s="30">
        <v>93</v>
      </c>
      <c r="H554" s="30">
        <v>109</v>
      </c>
      <c r="I554" s="30">
        <v>108</v>
      </c>
      <c r="J554" s="30">
        <v>118</v>
      </c>
      <c r="K554" s="30">
        <v>96</v>
      </c>
      <c r="L554" s="30">
        <v>216</v>
      </c>
      <c r="M554" s="30">
        <v>92</v>
      </c>
      <c r="N554" s="30">
        <v>59</v>
      </c>
      <c r="O554" s="30">
        <v>72</v>
      </c>
      <c r="P554" s="31">
        <f t="shared" si="138"/>
        <v>1262</v>
      </c>
    </row>
    <row r="555" spans="2:18" ht="12.75" hidden="1" customHeight="1" x14ac:dyDescent="0.25">
      <c r="B555" s="443"/>
      <c r="C555" s="28" t="s">
        <v>6</v>
      </c>
      <c r="D555" s="29">
        <v>955</v>
      </c>
      <c r="E555" s="30">
        <v>1015</v>
      </c>
      <c r="F555" s="29">
        <v>967</v>
      </c>
      <c r="G555" s="30">
        <v>991</v>
      </c>
      <c r="H555" s="30">
        <v>960</v>
      </c>
      <c r="I555" s="30">
        <v>861</v>
      </c>
      <c r="J555" s="30">
        <v>700</v>
      </c>
      <c r="K555" s="30">
        <v>584</v>
      </c>
      <c r="L555" s="30">
        <v>600</v>
      </c>
      <c r="M555" s="30">
        <v>546</v>
      </c>
      <c r="N555" s="30">
        <v>390</v>
      </c>
      <c r="O555" s="30">
        <v>748</v>
      </c>
      <c r="P555" s="31">
        <f t="shared" si="138"/>
        <v>9317</v>
      </c>
    </row>
    <row r="556" spans="2:18" ht="12.75" hidden="1" customHeight="1" x14ac:dyDescent="0.25">
      <c r="B556" s="439"/>
      <c r="C556" s="35" t="s">
        <v>0</v>
      </c>
      <c r="D556" s="36">
        <f>SUM(D544:D555)</f>
        <v>28889</v>
      </c>
      <c r="E556" s="36">
        <f>SUM(E544:E555)</f>
        <v>34560</v>
      </c>
      <c r="F556" s="36">
        <f t="shared" ref="F556:O556" si="142">SUM(F544:F555)</f>
        <v>35075</v>
      </c>
      <c r="G556" s="36">
        <f t="shared" si="142"/>
        <v>35503</v>
      </c>
      <c r="H556" s="36">
        <f t="shared" si="142"/>
        <v>33103</v>
      </c>
      <c r="I556" s="36">
        <f t="shared" si="142"/>
        <v>31805</v>
      </c>
      <c r="J556" s="36">
        <f t="shared" si="142"/>
        <v>33129</v>
      </c>
      <c r="K556" s="36">
        <f t="shared" si="142"/>
        <v>22924</v>
      </c>
      <c r="L556" s="36">
        <f>SUM(L544:L555)</f>
        <v>36826</v>
      </c>
      <c r="M556" s="36">
        <f t="shared" si="142"/>
        <v>33781</v>
      </c>
      <c r="N556" s="36">
        <f t="shared" si="142"/>
        <v>33110</v>
      </c>
      <c r="O556" s="36">
        <f t="shared" si="142"/>
        <v>35002</v>
      </c>
      <c r="P556" s="37">
        <f>SUM(P544:P555)</f>
        <v>393707</v>
      </c>
    </row>
    <row r="557" spans="2:18" ht="12.75" hidden="1" customHeight="1" x14ac:dyDescent="0.25">
      <c r="B557" s="441"/>
      <c r="C557" s="28" t="s">
        <v>7</v>
      </c>
      <c r="D557" s="29">
        <v>3335</v>
      </c>
      <c r="E557" s="30">
        <v>2754</v>
      </c>
      <c r="F557" s="30">
        <v>3120</v>
      </c>
      <c r="G557" s="30">
        <v>2779</v>
      </c>
      <c r="H557" s="30">
        <v>2650</v>
      </c>
      <c r="I557" s="30">
        <v>2668</v>
      </c>
      <c r="J557" s="30">
        <v>3518</v>
      </c>
      <c r="K557" s="30">
        <v>2488</v>
      </c>
      <c r="L557" s="30">
        <v>3350</v>
      </c>
      <c r="M557" s="30">
        <v>3669</v>
      </c>
      <c r="N557" s="30">
        <v>3833</v>
      </c>
      <c r="O557" s="30">
        <v>3572</v>
      </c>
      <c r="P557" s="31">
        <f>SUM(D557:O557)</f>
        <v>37736</v>
      </c>
    </row>
    <row r="558" spans="2:18" ht="12.75" hidden="1" customHeight="1" x14ac:dyDescent="0.25">
      <c r="B558" s="441"/>
      <c r="C558" s="28" t="s">
        <v>8</v>
      </c>
      <c r="D558" s="29">
        <v>1872</v>
      </c>
      <c r="E558" s="30">
        <v>1333</v>
      </c>
      <c r="F558" s="30">
        <v>1497</v>
      </c>
      <c r="G558" s="30">
        <v>1695</v>
      </c>
      <c r="H558" s="30">
        <f>H582</f>
        <v>7809</v>
      </c>
      <c r="I558" s="30">
        <f>I582</f>
        <v>10423</v>
      </c>
      <c r="J558" s="30">
        <v>7989</v>
      </c>
      <c r="K558" s="30">
        <v>4070</v>
      </c>
      <c r="L558" s="30">
        <v>6175</v>
      </c>
      <c r="M558" s="30">
        <v>7765</v>
      </c>
      <c r="N558" s="30">
        <v>8122</v>
      </c>
      <c r="O558" s="30">
        <v>9632</v>
      </c>
      <c r="P558" s="31">
        <f>SUM(D558:O558)</f>
        <v>68382</v>
      </c>
    </row>
    <row r="559" spans="2:18" ht="12.75" hidden="1" customHeight="1" x14ac:dyDescent="0.25">
      <c r="B559" s="441"/>
      <c r="C559" s="28" t="s">
        <v>55</v>
      </c>
      <c r="D559" s="29">
        <v>421</v>
      </c>
      <c r="E559" s="30">
        <v>985</v>
      </c>
      <c r="F559" s="30">
        <v>919</v>
      </c>
      <c r="G559" s="30">
        <v>383</v>
      </c>
      <c r="H559" s="30">
        <v>462</v>
      </c>
      <c r="I559" s="30">
        <v>435</v>
      </c>
      <c r="J559" s="30">
        <v>473</v>
      </c>
      <c r="K559" s="30">
        <v>377</v>
      </c>
      <c r="L559" s="30">
        <v>474</v>
      </c>
      <c r="M559" s="30">
        <v>383</v>
      </c>
      <c r="N559" s="30">
        <v>345</v>
      </c>
      <c r="O559" s="30">
        <v>232</v>
      </c>
      <c r="P559" s="31">
        <f>SUM(D559:O559)</f>
        <v>5889</v>
      </c>
      <c r="R559" s="356"/>
    </row>
    <row r="560" spans="2:18" ht="12.75" hidden="1" customHeight="1" thickBot="1" x14ac:dyDescent="0.3">
      <c r="B560" s="444"/>
      <c r="C560" s="35" t="s">
        <v>0</v>
      </c>
      <c r="D560" s="36">
        <f t="shared" ref="D560:P560" si="143">SUM(D557:D559)</f>
        <v>5628</v>
      </c>
      <c r="E560" s="36">
        <f t="shared" si="143"/>
        <v>5072</v>
      </c>
      <c r="F560" s="36">
        <f t="shared" si="143"/>
        <v>5536</v>
      </c>
      <c r="G560" s="36">
        <f t="shared" si="143"/>
        <v>4857</v>
      </c>
      <c r="H560" s="36">
        <f t="shared" si="143"/>
        <v>10921</v>
      </c>
      <c r="I560" s="36">
        <f t="shared" si="143"/>
        <v>13526</v>
      </c>
      <c r="J560" s="36">
        <f t="shared" si="143"/>
        <v>11980</v>
      </c>
      <c r="K560" s="36">
        <f t="shared" si="143"/>
        <v>6935</v>
      </c>
      <c r="L560" s="36">
        <f t="shared" si="143"/>
        <v>9999</v>
      </c>
      <c r="M560" s="36">
        <f t="shared" si="143"/>
        <v>11817</v>
      </c>
      <c r="N560" s="36">
        <f t="shared" si="143"/>
        <v>12300</v>
      </c>
      <c r="O560" s="36">
        <f t="shared" si="143"/>
        <v>13436</v>
      </c>
      <c r="P560" s="37">
        <f t="shared" si="143"/>
        <v>112007</v>
      </c>
      <c r="Q560" s="352"/>
    </row>
    <row r="561" spans="2:17" ht="12.75" hidden="1" customHeight="1" x14ac:dyDescent="0.25">
      <c r="B561" s="430" t="s">
        <v>9</v>
      </c>
      <c r="C561" s="38" t="s">
        <v>11</v>
      </c>
      <c r="D561" s="39">
        <v>2556</v>
      </c>
      <c r="E561" s="40">
        <v>4034</v>
      </c>
      <c r="F561" s="40">
        <v>4498</v>
      </c>
      <c r="G561" s="40">
        <v>4516</v>
      </c>
      <c r="H561" s="40">
        <v>4365</v>
      </c>
      <c r="I561" s="40">
        <v>4509</v>
      </c>
      <c r="J561" s="40">
        <v>5057</v>
      </c>
      <c r="K561" s="40">
        <v>1644</v>
      </c>
      <c r="L561" s="40">
        <v>457</v>
      </c>
      <c r="M561" s="40">
        <v>4219</v>
      </c>
      <c r="N561" s="40">
        <v>5338</v>
      </c>
      <c r="O561" s="40">
        <v>4132</v>
      </c>
      <c r="P561" s="41">
        <f>SUM(D561:O561)</f>
        <v>45325</v>
      </c>
      <c r="Q561" s="352"/>
    </row>
    <row r="562" spans="2:17" ht="12.75" hidden="1" customHeight="1" x14ac:dyDescent="0.25">
      <c r="B562" s="431"/>
      <c r="C562" s="24" t="s">
        <v>12</v>
      </c>
      <c r="D562" s="25">
        <v>5933</v>
      </c>
      <c r="E562" s="26">
        <v>7437</v>
      </c>
      <c r="F562" s="26">
        <v>8105</v>
      </c>
      <c r="G562" s="26">
        <v>7618</v>
      </c>
      <c r="H562" s="26">
        <v>7061</v>
      </c>
      <c r="I562" s="26">
        <v>7271</v>
      </c>
      <c r="J562" s="26">
        <v>7136</v>
      </c>
      <c r="K562" s="26">
        <v>3832</v>
      </c>
      <c r="L562" s="26">
        <v>7773</v>
      </c>
      <c r="M562" s="26">
        <v>8649</v>
      </c>
      <c r="N562" s="26">
        <v>8360</v>
      </c>
      <c r="O562" s="26">
        <v>8133</v>
      </c>
      <c r="P562" s="27">
        <f>SUM(D562:O562)</f>
        <v>87308</v>
      </c>
    </row>
    <row r="563" spans="2:17" ht="12.75" hidden="1" customHeight="1" thickBot="1" x14ac:dyDescent="0.3">
      <c r="B563" s="432"/>
      <c r="C563" s="42" t="s">
        <v>0</v>
      </c>
      <c r="D563" s="43">
        <f t="shared" ref="D563:P563" si="144">SUM(D561:D562)</f>
        <v>8489</v>
      </c>
      <c r="E563" s="43">
        <f t="shared" si="144"/>
        <v>11471</v>
      </c>
      <c r="F563" s="43">
        <f t="shared" si="144"/>
        <v>12603</v>
      </c>
      <c r="G563" s="43">
        <f t="shared" si="144"/>
        <v>12134</v>
      </c>
      <c r="H563" s="43">
        <f t="shared" si="144"/>
        <v>11426</v>
      </c>
      <c r="I563" s="43">
        <f t="shared" si="144"/>
        <v>11780</v>
      </c>
      <c r="J563" s="43">
        <f t="shared" si="144"/>
        <v>12193</v>
      </c>
      <c r="K563" s="43">
        <f t="shared" si="144"/>
        <v>5476</v>
      </c>
      <c r="L563" s="43">
        <f t="shared" si="144"/>
        <v>8230</v>
      </c>
      <c r="M563" s="43">
        <f t="shared" si="144"/>
        <v>12868</v>
      </c>
      <c r="N563" s="43">
        <f t="shared" si="144"/>
        <v>13698</v>
      </c>
      <c r="O563" s="43">
        <f t="shared" si="144"/>
        <v>12265</v>
      </c>
      <c r="P563" s="44">
        <f t="shared" si="144"/>
        <v>132633</v>
      </c>
    </row>
    <row r="564" spans="2:17" ht="12.75" hidden="1" customHeight="1" x14ac:dyDescent="0.25">
      <c r="B564" s="430" t="s">
        <v>10</v>
      </c>
      <c r="C564" s="38" t="s">
        <v>13</v>
      </c>
      <c r="D564" s="39">
        <v>632</v>
      </c>
      <c r="E564" s="40">
        <v>800</v>
      </c>
      <c r="F564" s="40">
        <v>809</v>
      </c>
      <c r="G564" s="40">
        <v>751</v>
      </c>
      <c r="H564" s="40">
        <v>670</v>
      </c>
      <c r="I564" s="40">
        <v>569</v>
      </c>
      <c r="J564" s="40">
        <v>531</v>
      </c>
      <c r="K564" s="40">
        <v>180</v>
      </c>
      <c r="L564" s="40">
        <v>537</v>
      </c>
      <c r="M564" s="40">
        <v>787</v>
      </c>
      <c r="N564" s="40">
        <v>570</v>
      </c>
      <c r="O564" s="40">
        <v>524</v>
      </c>
      <c r="P564" s="41">
        <f>SUM(D564:O564)</f>
        <v>7360</v>
      </c>
      <c r="Q564" s="352"/>
    </row>
    <row r="565" spans="2:17" ht="12.75" hidden="1" customHeight="1" x14ac:dyDescent="0.25">
      <c r="B565" s="431"/>
      <c r="C565" s="24" t="s">
        <v>14</v>
      </c>
      <c r="D565" s="25">
        <v>1548</v>
      </c>
      <c r="E565" s="26">
        <v>1744</v>
      </c>
      <c r="F565" s="26">
        <v>1999</v>
      </c>
      <c r="G565" s="26">
        <v>2252</v>
      </c>
      <c r="H565" s="26">
        <v>1930</v>
      </c>
      <c r="I565" s="26">
        <v>2031</v>
      </c>
      <c r="J565" s="26">
        <v>2122</v>
      </c>
      <c r="K565" s="26">
        <v>435</v>
      </c>
      <c r="L565" s="26">
        <v>1967</v>
      </c>
      <c r="M565" s="26">
        <v>2233</v>
      </c>
      <c r="N565" s="26">
        <v>1930</v>
      </c>
      <c r="O565" s="26">
        <v>1879</v>
      </c>
      <c r="P565" s="27">
        <f>SUM(D565:O565)</f>
        <v>22070</v>
      </c>
    </row>
    <row r="566" spans="2:17" ht="12.75" hidden="1" customHeight="1" thickBot="1" x14ac:dyDescent="0.3">
      <c r="B566" s="432"/>
      <c r="C566" s="42" t="s">
        <v>0</v>
      </c>
      <c r="D566" s="43">
        <f t="shared" ref="D566:P566" si="145">SUM(D564:D565)</f>
        <v>2180</v>
      </c>
      <c r="E566" s="43">
        <f t="shared" si="145"/>
        <v>2544</v>
      </c>
      <c r="F566" s="43">
        <f t="shared" si="145"/>
        <v>2808</v>
      </c>
      <c r="G566" s="43">
        <f t="shared" si="145"/>
        <v>3003</v>
      </c>
      <c r="H566" s="43">
        <f t="shared" si="145"/>
        <v>2600</v>
      </c>
      <c r="I566" s="43">
        <f t="shared" si="145"/>
        <v>2600</v>
      </c>
      <c r="J566" s="43">
        <f t="shared" si="145"/>
        <v>2653</v>
      </c>
      <c r="K566" s="43">
        <f t="shared" si="145"/>
        <v>615</v>
      </c>
      <c r="L566" s="43">
        <f t="shared" si="145"/>
        <v>2504</v>
      </c>
      <c r="M566" s="43">
        <f t="shared" si="145"/>
        <v>3020</v>
      </c>
      <c r="N566" s="43">
        <f t="shared" si="145"/>
        <v>2500</v>
      </c>
      <c r="O566" s="43">
        <f t="shared" si="145"/>
        <v>2403</v>
      </c>
      <c r="P566" s="44">
        <f t="shared" si="145"/>
        <v>29430</v>
      </c>
    </row>
    <row r="567" spans="2:17" ht="12.75" hidden="1" customHeight="1" thickBot="1" x14ac:dyDescent="0.3">
      <c r="B567" s="435" t="s">
        <v>2</v>
      </c>
      <c r="C567" s="436"/>
      <c r="D567" s="45">
        <f t="shared" ref="D567:P567" si="146">D556+D560+D566+D563</f>
        <v>45186</v>
      </c>
      <c r="E567" s="45">
        <f t="shared" si="146"/>
        <v>53647</v>
      </c>
      <c r="F567" s="45">
        <f t="shared" si="146"/>
        <v>56022</v>
      </c>
      <c r="G567" s="45">
        <f t="shared" si="146"/>
        <v>55497</v>
      </c>
      <c r="H567" s="45">
        <f t="shared" si="146"/>
        <v>58050</v>
      </c>
      <c r="I567" s="45">
        <f t="shared" si="146"/>
        <v>59711</v>
      </c>
      <c r="J567" s="45">
        <f t="shared" si="146"/>
        <v>59955</v>
      </c>
      <c r="K567" s="45">
        <f t="shared" si="146"/>
        <v>35950</v>
      </c>
      <c r="L567" s="45">
        <f t="shared" si="146"/>
        <v>57559</v>
      </c>
      <c r="M567" s="45">
        <f t="shared" si="146"/>
        <v>61486</v>
      </c>
      <c r="N567" s="45">
        <f t="shared" si="146"/>
        <v>61608</v>
      </c>
      <c r="O567" s="45">
        <f t="shared" si="146"/>
        <v>63106</v>
      </c>
      <c r="P567" s="45">
        <f t="shared" si="146"/>
        <v>667777</v>
      </c>
      <c r="Q567" s="352"/>
    </row>
    <row r="568" spans="2:17" hidden="1" x14ac:dyDescent="0.25">
      <c r="J568" s="116"/>
    </row>
    <row r="569" spans="2:17" hidden="1" x14ac:dyDescent="0.25">
      <c r="B569" s="82" t="s">
        <v>24</v>
      </c>
      <c r="C569" s="83"/>
      <c r="D569" s="84">
        <f>SUM(D570:D571)</f>
        <v>7255</v>
      </c>
      <c r="E569" s="84">
        <f t="shared" ref="E569:O569" si="147">SUM(E570:E571)</f>
        <v>9305</v>
      </c>
      <c r="F569" s="84">
        <f t="shared" si="147"/>
        <v>10210</v>
      </c>
      <c r="G569" s="84">
        <f t="shared" si="147"/>
        <v>9797</v>
      </c>
      <c r="H569" s="84">
        <f t="shared" si="147"/>
        <v>8758</v>
      </c>
      <c r="I569" s="84">
        <f t="shared" si="147"/>
        <v>9822</v>
      </c>
      <c r="J569" s="84">
        <f t="shared" si="147"/>
        <v>10177</v>
      </c>
      <c r="K569" s="84">
        <f t="shared" si="147"/>
        <v>5629</v>
      </c>
      <c r="L569" s="84">
        <f t="shared" si="147"/>
        <v>10303</v>
      </c>
      <c r="M569" s="84">
        <f t="shared" si="147"/>
        <v>9812</v>
      </c>
      <c r="N569" s="84">
        <f t="shared" si="147"/>
        <v>9932</v>
      </c>
      <c r="O569" s="84">
        <f t="shared" si="147"/>
        <v>10290</v>
      </c>
      <c r="P569" s="85">
        <f>SUM(P570:P571)</f>
        <v>111290</v>
      </c>
    </row>
    <row r="570" spans="2:17" ht="9" hidden="1" customHeight="1" x14ac:dyDescent="0.25">
      <c r="B570" s="86"/>
      <c r="C570" s="87" t="s">
        <v>28</v>
      </c>
      <c r="D570" s="100">
        <v>7160</v>
      </c>
      <c r="E570" s="100">
        <v>9230</v>
      </c>
      <c r="F570" s="88">
        <v>10062</v>
      </c>
      <c r="G570" s="101">
        <v>9653</v>
      </c>
      <c r="H570" s="88">
        <v>8629</v>
      </c>
      <c r="I570" s="98">
        <v>9687</v>
      </c>
      <c r="J570" s="98">
        <v>10060</v>
      </c>
      <c r="K570" s="88">
        <v>5548</v>
      </c>
      <c r="L570" s="88">
        <v>10189</v>
      </c>
      <c r="M570" s="88">
        <v>9729</v>
      </c>
      <c r="N570" s="88">
        <v>9838</v>
      </c>
      <c r="O570" s="88">
        <v>10211</v>
      </c>
      <c r="P570" s="89">
        <f>SUM(D570:O570)</f>
        <v>109996</v>
      </c>
    </row>
    <row r="571" spans="2:17" ht="9" hidden="1" customHeight="1" x14ac:dyDescent="0.25">
      <c r="B571" s="90"/>
      <c r="C571" s="87" t="s">
        <v>23</v>
      </c>
      <c r="D571" s="100">
        <v>95</v>
      </c>
      <c r="E571" s="100">
        <v>75</v>
      </c>
      <c r="F571" s="88">
        <v>148</v>
      </c>
      <c r="G571" s="101">
        <v>144</v>
      </c>
      <c r="H571" s="88">
        <v>129</v>
      </c>
      <c r="I571" s="98">
        <v>135</v>
      </c>
      <c r="J571" s="99">
        <v>117</v>
      </c>
      <c r="K571" s="91">
        <v>81</v>
      </c>
      <c r="L571" s="91">
        <v>114</v>
      </c>
      <c r="M571" s="91">
        <v>83</v>
      </c>
      <c r="N571" s="91">
        <v>94</v>
      </c>
      <c r="O571" s="91">
        <v>79</v>
      </c>
      <c r="P571" s="89">
        <f>SUM(D571:O571)</f>
        <v>1294</v>
      </c>
    </row>
    <row r="572" spans="2:17" ht="6" hidden="1" customHeight="1" x14ac:dyDescent="0.25">
      <c r="G572" s="92"/>
      <c r="L572" s="92"/>
      <c r="P572" s="46"/>
      <c r="Q572" s="115"/>
    </row>
    <row r="573" spans="2:17" hidden="1" x14ac:dyDescent="0.25">
      <c r="B573" s="93" t="s">
        <v>25</v>
      </c>
      <c r="C573" s="94"/>
      <c r="D573" s="84">
        <f>SUM(D574:D576)</f>
        <v>7619</v>
      </c>
      <c r="E573" s="84">
        <f>SUM(E574:E576)</f>
        <v>7640</v>
      </c>
      <c r="F573" s="84">
        <f t="shared" ref="F573:O573" si="148">SUM(F574:F576)</f>
        <v>8469</v>
      </c>
      <c r="G573" s="84">
        <f t="shared" si="148"/>
        <v>9124</v>
      </c>
      <c r="H573" s="84">
        <f t="shared" si="148"/>
        <v>9236</v>
      </c>
      <c r="I573" s="84">
        <f t="shared" si="148"/>
        <v>7505</v>
      </c>
      <c r="J573" s="84">
        <f t="shared" si="148"/>
        <v>8318</v>
      </c>
      <c r="K573" s="84">
        <f t="shared" si="148"/>
        <v>6784</v>
      </c>
      <c r="L573" s="84">
        <f t="shared" si="148"/>
        <v>10820</v>
      </c>
      <c r="M573" s="84">
        <f t="shared" si="148"/>
        <v>9834</v>
      </c>
      <c r="N573" s="84">
        <f t="shared" si="148"/>
        <v>8997</v>
      </c>
      <c r="O573" s="84">
        <f t="shared" si="148"/>
        <v>9648</v>
      </c>
      <c r="P573" s="84">
        <f>SUM(P574:P576)</f>
        <v>103994</v>
      </c>
    </row>
    <row r="574" spans="2:17" ht="9" hidden="1" customHeight="1" x14ac:dyDescent="0.25">
      <c r="B574" s="86"/>
      <c r="C574" s="87" t="s">
        <v>201</v>
      </c>
      <c r="D574" s="88">
        <v>926</v>
      </c>
      <c r="E574" s="88">
        <v>999</v>
      </c>
      <c r="F574" s="88">
        <v>1072</v>
      </c>
      <c r="G574" s="88">
        <v>1075</v>
      </c>
      <c r="H574" s="88">
        <v>923</v>
      </c>
      <c r="I574" s="88">
        <v>828</v>
      </c>
      <c r="J574" s="88">
        <v>683</v>
      </c>
      <c r="K574" s="88">
        <v>574</v>
      </c>
      <c r="L574" s="88">
        <v>629</v>
      </c>
      <c r="M574" s="88">
        <v>616</v>
      </c>
      <c r="N574" s="88">
        <v>617</v>
      </c>
      <c r="O574" s="88">
        <v>534</v>
      </c>
      <c r="P574" s="89">
        <f>SUM(D574:O574)</f>
        <v>9476</v>
      </c>
    </row>
    <row r="575" spans="2:17" ht="9" hidden="1" customHeight="1" x14ac:dyDescent="0.25">
      <c r="B575" s="86"/>
      <c r="C575" s="87" t="s">
        <v>26</v>
      </c>
      <c r="D575" s="88">
        <v>6013</v>
      </c>
      <c r="E575" s="88">
        <v>5612</v>
      </c>
      <c r="F575" s="88">
        <v>6396</v>
      </c>
      <c r="G575" s="88">
        <v>7036</v>
      </c>
      <c r="H575" s="88">
        <v>7189</v>
      </c>
      <c r="I575" s="88">
        <v>5676</v>
      </c>
      <c r="J575" s="88">
        <v>5973</v>
      </c>
      <c r="K575" s="88">
        <v>5134</v>
      </c>
      <c r="L575" s="88">
        <v>8149</v>
      </c>
      <c r="M575" s="88">
        <v>7192</v>
      </c>
      <c r="N575" s="88">
        <v>6467</v>
      </c>
      <c r="O575" s="88">
        <v>6971</v>
      </c>
      <c r="P575" s="89">
        <f>SUM(D575:O575)</f>
        <v>77808</v>
      </c>
    </row>
    <row r="576" spans="2:17" ht="9" hidden="1" customHeight="1" x14ac:dyDescent="0.25">
      <c r="B576" s="90"/>
      <c r="C576" s="87" t="s">
        <v>23</v>
      </c>
      <c r="D576" s="91">
        <v>680</v>
      </c>
      <c r="E576" s="91">
        <v>1029</v>
      </c>
      <c r="F576" s="91">
        <v>1001</v>
      </c>
      <c r="G576" s="91">
        <v>1013</v>
      </c>
      <c r="H576" s="91">
        <v>1124</v>
      </c>
      <c r="I576" s="91">
        <v>1001</v>
      </c>
      <c r="J576" s="91">
        <v>1662</v>
      </c>
      <c r="K576" s="91">
        <v>1076</v>
      </c>
      <c r="L576" s="91">
        <v>2042</v>
      </c>
      <c r="M576" s="91">
        <v>2026</v>
      </c>
      <c r="N576" s="91">
        <v>1913</v>
      </c>
      <c r="O576" s="91">
        <v>2143</v>
      </c>
      <c r="P576" s="89">
        <f>SUM(D576:O576)</f>
        <v>16710</v>
      </c>
    </row>
    <row r="577" spans="2:17" ht="6" hidden="1" customHeight="1" x14ac:dyDescent="0.25">
      <c r="P577" s="354"/>
    </row>
    <row r="578" spans="2:17" hidden="1" x14ac:dyDescent="0.25">
      <c r="B578" s="93" t="s">
        <v>44</v>
      </c>
      <c r="C578" s="94"/>
      <c r="D578" s="84">
        <f t="shared" ref="D578:O578" si="149">SUM(D579:D580)</f>
        <v>544</v>
      </c>
      <c r="E578" s="84">
        <v>1641</v>
      </c>
      <c r="F578" s="84">
        <f t="shared" si="149"/>
        <v>1019</v>
      </c>
      <c r="G578" s="84">
        <f t="shared" si="149"/>
        <v>756</v>
      </c>
      <c r="H578" s="84">
        <f t="shared" si="149"/>
        <v>574</v>
      </c>
      <c r="I578" s="84">
        <f t="shared" si="149"/>
        <v>450</v>
      </c>
      <c r="J578" s="84">
        <f t="shared" si="149"/>
        <v>469</v>
      </c>
      <c r="K578" s="84">
        <f t="shared" si="149"/>
        <v>613</v>
      </c>
      <c r="L578" s="84">
        <f t="shared" si="149"/>
        <v>1561</v>
      </c>
      <c r="M578" s="84">
        <f>M579+M580</f>
        <v>1241</v>
      </c>
      <c r="N578" s="84">
        <f t="shared" si="149"/>
        <v>739</v>
      </c>
      <c r="O578" s="84">
        <f t="shared" si="149"/>
        <v>734</v>
      </c>
      <c r="P578" s="84">
        <f>SUM(D578:O578)</f>
        <v>10341</v>
      </c>
    </row>
    <row r="579" spans="2:17" ht="9" hidden="1" customHeight="1" x14ac:dyDescent="0.25">
      <c r="B579" s="86"/>
      <c r="C579" s="87" t="s">
        <v>209</v>
      </c>
      <c r="D579" s="100">
        <v>452</v>
      </c>
      <c r="E579" s="100">
        <v>1028</v>
      </c>
      <c r="F579" s="88">
        <v>378</v>
      </c>
      <c r="G579" s="101">
        <v>276</v>
      </c>
      <c r="H579" s="88">
        <v>243</v>
      </c>
      <c r="I579" s="98">
        <v>243</v>
      </c>
      <c r="J579" s="98">
        <v>170</v>
      </c>
      <c r="K579" s="88">
        <v>191</v>
      </c>
      <c r="L579" s="88">
        <v>425</v>
      </c>
      <c r="M579" s="88">
        <v>387</v>
      </c>
      <c r="N579" s="88">
        <v>299</v>
      </c>
      <c r="O579" s="88">
        <v>277</v>
      </c>
      <c r="P579" s="89">
        <f>SUM(D579:O579)</f>
        <v>4369</v>
      </c>
    </row>
    <row r="580" spans="2:17" ht="9" hidden="1" customHeight="1" x14ac:dyDescent="0.25">
      <c r="B580" s="90"/>
      <c r="C580" s="87" t="s">
        <v>210</v>
      </c>
      <c r="D580" s="100">
        <v>92</v>
      </c>
      <c r="E580" s="100">
        <v>613</v>
      </c>
      <c r="F580" s="88">
        <v>641</v>
      </c>
      <c r="G580" s="101">
        <v>480</v>
      </c>
      <c r="H580" s="88">
        <v>331</v>
      </c>
      <c r="I580" s="98">
        <v>207</v>
      </c>
      <c r="J580" s="99">
        <v>299</v>
      </c>
      <c r="K580" s="91">
        <v>422</v>
      </c>
      <c r="L580" s="91">
        <v>1136</v>
      </c>
      <c r="M580" s="91">
        <v>854</v>
      </c>
      <c r="N580" s="91">
        <v>440</v>
      </c>
      <c r="O580" s="91">
        <v>457</v>
      </c>
      <c r="P580" s="89">
        <f>SUM(D580:O580)</f>
        <v>5972</v>
      </c>
    </row>
    <row r="581" spans="2:17" ht="9" hidden="1" customHeight="1" x14ac:dyDescent="0.25">
      <c r="D581" s="356"/>
      <c r="E581" s="356"/>
      <c r="F581" s="356"/>
      <c r="G581" s="356"/>
      <c r="I581" s="356"/>
      <c r="P581" s="354"/>
    </row>
    <row r="582" spans="2:17" hidden="1" x14ac:dyDescent="0.25">
      <c r="B582" s="82" t="s">
        <v>8</v>
      </c>
      <c r="C582" s="83"/>
      <c r="D582" s="84">
        <v>1872</v>
      </c>
      <c r="E582" s="84">
        <v>1333</v>
      </c>
      <c r="F582" s="84">
        <v>1497</v>
      </c>
      <c r="G582" s="84">
        <v>1695</v>
      </c>
      <c r="H582" s="84">
        <f t="shared" ref="H582:O582" si="150">SUM(H583:H584)</f>
        <v>7809</v>
      </c>
      <c r="I582" s="84">
        <f t="shared" si="150"/>
        <v>10423</v>
      </c>
      <c r="J582" s="84">
        <f t="shared" si="150"/>
        <v>7989</v>
      </c>
      <c r="K582" s="84">
        <f t="shared" si="150"/>
        <v>4070</v>
      </c>
      <c r="L582" s="84">
        <f t="shared" si="150"/>
        <v>6175</v>
      </c>
      <c r="M582" s="84">
        <f t="shared" si="150"/>
        <v>7765</v>
      </c>
      <c r="N582" s="84">
        <f t="shared" si="150"/>
        <v>8122</v>
      </c>
      <c r="O582" s="84">
        <f t="shared" si="150"/>
        <v>9632</v>
      </c>
      <c r="P582" s="84">
        <f>SUM(D582:O582)</f>
        <v>68382</v>
      </c>
    </row>
    <row r="583" spans="2:17" ht="9" hidden="1" customHeight="1" x14ac:dyDescent="0.25">
      <c r="B583" s="86"/>
      <c r="C583" s="87" t="s">
        <v>211</v>
      </c>
      <c r="D583" s="100">
        <v>1872</v>
      </c>
      <c r="E583" s="100">
        <v>1333</v>
      </c>
      <c r="F583" s="88">
        <v>1497</v>
      </c>
      <c r="G583" s="101">
        <v>1695</v>
      </c>
      <c r="H583" s="88">
        <v>2033</v>
      </c>
      <c r="I583" s="98">
        <v>1477</v>
      </c>
      <c r="J583" s="98">
        <v>541</v>
      </c>
      <c r="K583" s="88">
        <v>5</v>
      </c>
      <c r="L583" s="88">
        <v>0</v>
      </c>
      <c r="M583" s="88">
        <v>0</v>
      </c>
      <c r="N583" s="88">
        <v>0</v>
      </c>
      <c r="O583" s="88">
        <v>0</v>
      </c>
      <c r="P583" s="89">
        <f>SUM(D583:O583)</f>
        <v>10453</v>
      </c>
    </row>
    <row r="584" spans="2:17" ht="9" hidden="1" customHeight="1" x14ac:dyDescent="0.25">
      <c r="B584" s="90"/>
      <c r="C584" s="87" t="s">
        <v>212</v>
      </c>
      <c r="D584" s="100"/>
      <c r="E584" s="100"/>
      <c r="F584" s="88"/>
      <c r="G584" s="101"/>
      <c r="H584" s="88">
        <v>5776</v>
      </c>
      <c r="I584" s="98">
        <v>8946</v>
      </c>
      <c r="J584" s="99">
        <v>7448</v>
      </c>
      <c r="K584" s="91">
        <v>4065</v>
      </c>
      <c r="L584" s="91">
        <v>6175</v>
      </c>
      <c r="M584" s="91">
        <v>7765</v>
      </c>
      <c r="N584" s="91">
        <v>8122</v>
      </c>
      <c r="O584" s="91">
        <v>9632</v>
      </c>
      <c r="P584" s="89">
        <f>SUM(D584:O584)</f>
        <v>57929</v>
      </c>
    </row>
    <row r="585" spans="2:17" hidden="1" x14ac:dyDescent="0.25">
      <c r="P585" s="46"/>
      <c r="Q585" s="115"/>
    </row>
    <row r="586" spans="2:17" ht="15" hidden="1" thickBot="1" x14ac:dyDescent="0.3">
      <c r="B586" s="18" t="s">
        <v>205</v>
      </c>
      <c r="C586" s="18"/>
    </row>
    <row r="587" spans="2:17" ht="12.75" hidden="1" customHeight="1" thickBot="1" x14ac:dyDescent="0.3">
      <c r="B587" s="437" t="s">
        <v>1</v>
      </c>
      <c r="C587" s="438"/>
      <c r="D587" s="21">
        <v>1</v>
      </c>
      <c r="E587" s="22">
        <v>2</v>
      </c>
      <c r="F587" s="22">
        <v>3</v>
      </c>
      <c r="G587" s="22">
        <v>4</v>
      </c>
      <c r="H587" s="22">
        <v>5</v>
      </c>
      <c r="I587" s="22">
        <v>6</v>
      </c>
      <c r="J587" s="22">
        <v>7</v>
      </c>
      <c r="K587" s="22">
        <v>8</v>
      </c>
      <c r="L587" s="22">
        <v>9</v>
      </c>
      <c r="M587" s="22">
        <v>10</v>
      </c>
      <c r="N587" s="22">
        <v>11</v>
      </c>
      <c r="O587" s="22">
        <v>12</v>
      </c>
      <c r="P587" s="23" t="s">
        <v>0</v>
      </c>
    </row>
    <row r="588" spans="2:17" ht="12.75" hidden="1" customHeight="1" x14ac:dyDescent="0.25">
      <c r="B588" s="443" t="s">
        <v>206</v>
      </c>
      <c r="C588" s="24" t="s">
        <v>207</v>
      </c>
      <c r="D588" s="25">
        <v>168</v>
      </c>
      <c r="E588" s="26">
        <v>150</v>
      </c>
      <c r="F588" s="25">
        <v>44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7">
        <f t="shared" ref="P588:P599" si="151">SUM(D588:O588)</f>
        <v>362</v>
      </c>
      <c r="Q588" s="352"/>
    </row>
    <row r="589" spans="2:17" ht="12.75" hidden="1" customHeight="1" x14ac:dyDescent="0.25">
      <c r="B589" s="443"/>
      <c r="C589" s="28" t="s">
        <v>208</v>
      </c>
      <c r="D589" s="29">
        <v>30</v>
      </c>
      <c r="E589" s="30">
        <v>1</v>
      </c>
      <c r="F589" s="29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1">
        <f t="shared" si="151"/>
        <v>31</v>
      </c>
      <c r="Q589" s="352"/>
    </row>
    <row r="590" spans="2:17" ht="12.75" hidden="1" customHeight="1" x14ac:dyDescent="0.25">
      <c r="B590" s="443"/>
      <c r="C590" s="28" t="s">
        <v>21</v>
      </c>
      <c r="D590" s="29">
        <v>2176</v>
      </c>
      <c r="E590" s="30">
        <v>1205</v>
      </c>
      <c r="F590" s="29">
        <v>968</v>
      </c>
      <c r="G590" s="30">
        <v>1950</v>
      </c>
      <c r="H590" s="30">
        <v>2101</v>
      </c>
      <c r="I590" s="30">
        <v>1610</v>
      </c>
      <c r="J590" s="30">
        <v>2701</v>
      </c>
      <c r="K590" s="30">
        <v>2362</v>
      </c>
      <c r="L590" s="30">
        <v>2255</v>
      </c>
      <c r="M590" s="30">
        <v>2326</v>
      </c>
      <c r="N590" s="30">
        <v>2284</v>
      </c>
      <c r="O590" s="30">
        <v>1964</v>
      </c>
      <c r="P590" s="31">
        <f t="shared" si="151"/>
        <v>23902</v>
      </c>
      <c r="Q590" s="352"/>
    </row>
    <row r="591" spans="2:17" ht="12.75" hidden="1" customHeight="1" x14ac:dyDescent="0.25">
      <c r="B591" s="443"/>
      <c r="C591" s="75" t="s">
        <v>22</v>
      </c>
      <c r="D591" s="76">
        <v>0</v>
      </c>
      <c r="E591" s="77">
        <v>0</v>
      </c>
      <c r="F591" s="76">
        <v>0</v>
      </c>
      <c r="G591" s="77">
        <v>1217</v>
      </c>
      <c r="H591" s="77">
        <v>1854</v>
      </c>
      <c r="I591" s="77">
        <v>1611</v>
      </c>
      <c r="J591" s="77">
        <v>1453</v>
      </c>
      <c r="K591" s="77">
        <v>1183</v>
      </c>
      <c r="L591" s="77">
        <v>1158</v>
      </c>
      <c r="M591" s="77">
        <v>918</v>
      </c>
      <c r="N591" s="77">
        <v>1022</v>
      </c>
      <c r="O591" s="77">
        <v>530</v>
      </c>
      <c r="P591" s="78">
        <f t="shared" si="151"/>
        <v>10946</v>
      </c>
      <c r="Q591" s="352"/>
    </row>
    <row r="592" spans="2:17" ht="12.75" hidden="1" customHeight="1" x14ac:dyDescent="0.25">
      <c r="B592" s="443"/>
      <c r="C592" s="75" t="s">
        <v>24</v>
      </c>
      <c r="D592" s="76">
        <f>D613</f>
        <v>13530</v>
      </c>
      <c r="E592" s="76">
        <f t="shared" ref="E592:O592" si="152">E613</f>
        <v>7384</v>
      </c>
      <c r="F592" s="76">
        <f t="shared" si="152"/>
        <v>12155</v>
      </c>
      <c r="G592" s="76">
        <f t="shared" si="152"/>
        <v>10186</v>
      </c>
      <c r="H592" s="76">
        <f t="shared" si="152"/>
        <v>10401</v>
      </c>
      <c r="I592" s="76">
        <f t="shared" si="152"/>
        <v>11113</v>
      </c>
      <c r="J592" s="76">
        <f t="shared" si="152"/>
        <v>11050</v>
      </c>
      <c r="K592" s="76">
        <f t="shared" si="152"/>
        <v>10283</v>
      </c>
      <c r="L592" s="76">
        <f t="shared" si="152"/>
        <v>11406</v>
      </c>
      <c r="M592" s="76">
        <f t="shared" si="152"/>
        <v>12625</v>
      </c>
      <c r="N592" s="76">
        <f t="shared" si="152"/>
        <v>10354</v>
      </c>
      <c r="O592" s="76">
        <f t="shared" si="152"/>
        <v>10500</v>
      </c>
      <c r="P592" s="78">
        <f t="shared" si="151"/>
        <v>130987</v>
      </c>
      <c r="Q592" s="352"/>
    </row>
    <row r="593" spans="2:18" ht="12.75" hidden="1" customHeight="1" x14ac:dyDescent="0.25">
      <c r="B593" s="443"/>
      <c r="C593" s="28" t="s">
        <v>3</v>
      </c>
      <c r="D593" s="29">
        <v>330</v>
      </c>
      <c r="E593" s="30">
        <v>214</v>
      </c>
      <c r="F593" s="29">
        <v>195</v>
      </c>
      <c r="G593" s="30">
        <v>585</v>
      </c>
      <c r="H593" s="30">
        <v>152</v>
      </c>
      <c r="I593" s="30">
        <v>206</v>
      </c>
      <c r="J593" s="30">
        <v>226</v>
      </c>
      <c r="K593" s="30">
        <v>154</v>
      </c>
      <c r="L593" s="30">
        <v>347</v>
      </c>
      <c r="M593" s="30">
        <v>226</v>
      </c>
      <c r="N593" s="30">
        <v>129</v>
      </c>
      <c r="O593" s="30">
        <v>1599</v>
      </c>
      <c r="P593" s="31">
        <f t="shared" si="151"/>
        <v>4363</v>
      </c>
      <c r="Q593" s="352"/>
    </row>
    <row r="594" spans="2:18" ht="12.75" hidden="1" customHeight="1" x14ac:dyDescent="0.25">
      <c r="B594" s="443"/>
      <c r="C594" s="73" t="s">
        <v>25</v>
      </c>
      <c r="D594" s="74">
        <f>D617</f>
        <v>8040</v>
      </c>
      <c r="E594" s="74">
        <f t="shared" ref="E594:L594" si="153">E617</f>
        <v>7498</v>
      </c>
      <c r="F594" s="74">
        <f t="shared" si="153"/>
        <v>9514</v>
      </c>
      <c r="G594" s="74">
        <f t="shared" si="153"/>
        <v>8543</v>
      </c>
      <c r="H594" s="74">
        <f t="shared" si="153"/>
        <v>7434</v>
      </c>
      <c r="I594" s="74">
        <f t="shared" si="153"/>
        <v>9102</v>
      </c>
      <c r="J594" s="74">
        <f t="shared" si="153"/>
        <v>8867</v>
      </c>
      <c r="K594" s="74">
        <f t="shared" si="153"/>
        <v>8583</v>
      </c>
      <c r="L594" s="74">
        <f t="shared" si="153"/>
        <v>9951</v>
      </c>
      <c r="M594" s="74">
        <f>M617</f>
        <v>8791</v>
      </c>
      <c r="N594" s="74">
        <f>N617</f>
        <v>8597</v>
      </c>
      <c r="O594" s="74">
        <f>O617</f>
        <v>9160</v>
      </c>
      <c r="P594" s="355">
        <f t="shared" si="151"/>
        <v>104080</v>
      </c>
      <c r="Q594" s="352"/>
    </row>
    <row r="595" spans="2:18" ht="12.75" hidden="1" customHeight="1" x14ac:dyDescent="0.25">
      <c r="B595" s="443"/>
      <c r="C595" s="73" t="s">
        <v>44</v>
      </c>
      <c r="D595" s="74"/>
      <c r="E595" s="74"/>
      <c r="F595" s="74"/>
      <c r="G595" s="74"/>
      <c r="H595" s="74"/>
      <c r="I595" s="74"/>
      <c r="J595" s="74"/>
      <c r="K595" s="74"/>
      <c r="L595" s="74">
        <v>0</v>
      </c>
      <c r="M595" s="74">
        <v>542</v>
      </c>
      <c r="N595" s="74">
        <v>410</v>
      </c>
      <c r="O595" s="74">
        <v>344</v>
      </c>
      <c r="P595" s="355">
        <f t="shared" si="151"/>
        <v>1296</v>
      </c>
      <c r="Q595" s="352"/>
    </row>
    <row r="596" spans="2:18" ht="12.75" hidden="1" customHeight="1" x14ac:dyDescent="0.25">
      <c r="B596" s="443"/>
      <c r="C596" s="73" t="s">
        <v>27</v>
      </c>
      <c r="D596" s="74">
        <f>D622</f>
        <v>606</v>
      </c>
      <c r="E596" s="74">
        <f t="shared" ref="E596:O596" si="154">E622</f>
        <v>266</v>
      </c>
      <c r="F596" s="74">
        <f t="shared" si="154"/>
        <v>262</v>
      </c>
      <c r="G596" s="74">
        <f t="shared" si="154"/>
        <v>276</v>
      </c>
      <c r="H596" s="74">
        <f t="shared" si="154"/>
        <v>130</v>
      </c>
      <c r="I596" s="74">
        <f t="shared" si="154"/>
        <v>321</v>
      </c>
      <c r="J596" s="74">
        <f t="shared" si="154"/>
        <v>32</v>
      </c>
      <c r="K596" s="74">
        <f t="shared" si="154"/>
        <v>1</v>
      </c>
      <c r="L596" s="74">
        <f t="shared" si="154"/>
        <v>0</v>
      </c>
      <c r="M596" s="74">
        <f t="shared" si="154"/>
        <v>0</v>
      </c>
      <c r="N596" s="74">
        <f t="shared" si="154"/>
        <v>0</v>
      </c>
      <c r="O596" s="74">
        <f t="shared" si="154"/>
        <v>0</v>
      </c>
      <c r="P596" s="355">
        <f t="shared" si="151"/>
        <v>1894</v>
      </c>
      <c r="Q596" s="352"/>
    </row>
    <row r="597" spans="2:18" ht="12.75" hidden="1" customHeight="1" x14ac:dyDescent="0.25">
      <c r="B597" s="443"/>
      <c r="C597" s="28" t="s">
        <v>4</v>
      </c>
      <c r="D597" s="29">
        <v>1626</v>
      </c>
      <c r="E597" s="30">
        <v>697</v>
      </c>
      <c r="F597" s="29">
        <v>2968</v>
      </c>
      <c r="G597" s="30">
        <v>2687</v>
      </c>
      <c r="H597" s="30">
        <v>2253</v>
      </c>
      <c r="I597" s="30">
        <v>2184</v>
      </c>
      <c r="J597" s="30">
        <v>1978</v>
      </c>
      <c r="K597" s="30">
        <v>1894</v>
      </c>
      <c r="L597" s="30">
        <v>1640</v>
      </c>
      <c r="M597" s="30">
        <v>1517</v>
      </c>
      <c r="N597" s="30">
        <v>1415</v>
      </c>
      <c r="O597" s="30">
        <v>2229</v>
      </c>
      <c r="P597" s="31">
        <f t="shared" si="151"/>
        <v>23088</v>
      </c>
      <c r="Q597" s="352"/>
    </row>
    <row r="598" spans="2:18" ht="12.75" hidden="1" customHeight="1" x14ac:dyDescent="0.25">
      <c r="B598" s="443"/>
      <c r="C598" s="28" t="s">
        <v>5</v>
      </c>
      <c r="D598" s="29">
        <v>143</v>
      </c>
      <c r="E598" s="30">
        <v>197</v>
      </c>
      <c r="F598" s="29">
        <v>349</v>
      </c>
      <c r="G598" s="30">
        <v>158</v>
      </c>
      <c r="H598" s="30">
        <v>59</v>
      </c>
      <c r="I598" s="30">
        <v>75</v>
      </c>
      <c r="J598" s="30">
        <v>92</v>
      </c>
      <c r="K598" s="30">
        <v>92</v>
      </c>
      <c r="L598" s="30">
        <v>70</v>
      </c>
      <c r="M598" s="30">
        <v>75</v>
      </c>
      <c r="N598" s="30">
        <v>95</v>
      </c>
      <c r="O598" s="30">
        <v>163</v>
      </c>
      <c r="P598" s="31">
        <f t="shared" si="151"/>
        <v>1568</v>
      </c>
      <c r="Q598" s="352"/>
    </row>
    <row r="599" spans="2:18" ht="12.75" hidden="1" customHeight="1" x14ac:dyDescent="0.25">
      <c r="B599" s="443"/>
      <c r="C599" s="28" t="s">
        <v>6</v>
      </c>
      <c r="D599" s="29">
        <v>1028</v>
      </c>
      <c r="E599" s="30">
        <v>472</v>
      </c>
      <c r="F599" s="29">
        <v>1552</v>
      </c>
      <c r="G599" s="30">
        <v>1383</v>
      </c>
      <c r="H599" s="30">
        <v>1443</v>
      </c>
      <c r="I599" s="30">
        <v>1456</v>
      </c>
      <c r="J599" s="30">
        <v>1362</v>
      </c>
      <c r="K599" s="30">
        <v>1171</v>
      </c>
      <c r="L599" s="30">
        <v>996</v>
      </c>
      <c r="M599" s="30">
        <v>819</v>
      </c>
      <c r="N599" s="30">
        <v>718</v>
      </c>
      <c r="O599" s="30">
        <v>1089</v>
      </c>
      <c r="P599" s="31">
        <f t="shared" si="151"/>
        <v>13489</v>
      </c>
      <c r="Q599" s="352"/>
    </row>
    <row r="600" spans="2:18" ht="12.75" hidden="1" customHeight="1" x14ac:dyDescent="0.25">
      <c r="B600" s="439"/>
      <c r="C600" s="35" t="s">
        <v>0</v>
      </c>
      <c r="D600" s="36">
        <f t="shared" ref="D600:P600" si="155">SUM(D588:D599)</f>
        <v>27677</v>
      </c>
      <c r="E600" s="36">
        <f t="shared" si="155"/>
        <v>18084</v>
      </c>
      <c r="F600" s="36">
        <f t="shared" si="155"/>
        <v>28007</v>
      </c>
      <c r="G600" s="36">
        <f t="shared" si="155"/>
        <v>26985</v>
      </c>
      <c r="H600" s="36">
        <f t="shared" si="155"/>
        <v>25827</v>
      </c>
      <c r="I600" s="36">
        <f t="shared" si="155"/>
        <v>27678</v>
      </c>
      <c r="J600" s="36">
        <f t="shared" si="155"/>
        <v>27761</v>
      </c>
      <c r="K600" s="36">
        <f t="shared" si="155"/>
        <v>25723</v>
      </c>
      <c r="L600" s="36">
        <f t="shared" si="155"/>
        <v>27823</v>
      </c>
      <c r="M600" s="36">
        <f t="shared" si="155"/>
        <v>27839</v>
      </c>
      <c r="N600" s="36">
        <f t="shared" si="155"/>
        <v>25024</v>
      </c>
      <c r="O600" s="36">
        <f t="shared" si="155"/>
        <v>27578</v>
      </c>
      <c r="P600" s="37">
        <f t="shared" si="155"/>
        <v>316006</v>
      </c>
      <c r="Q600" s="352"/>
    </row>
    <row r="601" spans="2:18" ht="12.75" hidden="1" customHeight="1" x14ac:dyDescent="0.25">
      <c r="B601" s="441"/>
      <c r="C601" s="28" t="s">
        <v>7</v>
      </c>
      <c r="D601" s="29">
        <v>3595</v>
      </c>
      <c r="E601" s="30">
        <v>3385</v>
      </c>
      <c r="F601" s="30">
        <v>3392</v>
      </c>
      <c r="G601" s="30">
        <v>3237</v>
      </c>
      <c r="H601" s="30">
        <v>4003</v>
      </c>
      <c r="I601" s="30">
        <v>3626</v>
      </c>
      <c r="J601" s="30">
        <v>3830</v>
      </c>
      <c r="K601" s="30">
        <v>3677</v>
      </c>
      <c r="L601" s="30">
        <v>3685</v>
      </c>
      <c r="M601" s="30">
        <v>3299</v>
      </c>
      <c r="N601" s="30">
        <v>3683</v>
      </c>
      <c r="O601" s="30">
        <v>3776</v>
      </c>
      <c r="P601" s="31">
        <f>SUM(D601:O601)</f>
        <v>43188</v>
      </c>
    </row>
    <row r="602" spans="2:18" ht="12.75" hidden="1" customHeight="1" x14ac:dyDescent="0.25">
      <c r="B602" s="441"/>
      <c r="C602" s="28" t="s">
        <v>8</v>
      </c>
      <c r="D602" s="29">
        <v>2014</v>
      </c>
      <c r="E602" s="30">
        <v>1740</v>
      </c>
      <c r="F602" s="30">
        <v>2381</v>
      </c>
      <c r="G602" s="30">
        <v>2228</v>
      </c>
      <c r="H602" s="30">
        <v>1917</v>
      </c>
      <c r="I602" s="30">
        <v>1823</v>
      </c>
      <c r="J602" s="30">
        <v>2684</v>
      </c>
      <c r="K602" s="30">
        <v>2654</v>
      </c>
      <c r="L602" s="30">
        <v>2319</v>
      </c>
      <c r="M602" s="30">
        <v>1724</v>
      </c>
      <c r="N602" s="30">
        <v>2216</v>
      </c>
      <c r="O602" s="30">
        <v>2396</v>
      </c>
      <c r="P602" s="31">
        <f>SUM(D602:O602)</f>
        <v>26096</v>
      </c>
    </row>
    <row r="603" spans="2:18" ht="12.75" hidden="1" customHeight="1" x14ac:dyDescent="0.25">
      <c r="B603" s="441"/>
      <c r="C603" s="28" t="s">
        <v>55</v>
      </c>
      <c r="D603" s="29">
        <v>1008</v>
      </c>
      <c r="E603" s="30">
        <v>671</v>
      </c>
      <c r="F603" s="30">
        <v>679</v>
      </c>
      <c r="G603" s="30">
        <v>672</v>
      </c>
      <c r="H603" s="30">
        <v>581</v>
      </c>
      <c r="I603" s="30">
        <v>511</v>
      </c>
      <c r="J603" s="30">
        <v>531</v>
      </c>
      <c r="K603" s="30">
        <v>561</v>
      </c>
      <c r="L603" s="30">
        <v>448</v>
      </c>
      <c r="M603" s="30">
        <v>491</v>
      </c>
      <c r="N603" s="30">
        <v>671</v>
      </c>
      <c r="O603" s="30">
        <v>706</v>
      </c>
      <c r="P603" s="31">
        <f>SUM(D603:O603)</f>
        <v>7530</v>
      </c>
      <c r="R603" s="356"/>
    </row>
    <row r="604" spans="2:18" ht="12.75" hidden="1" customHeight="1" thickBot="1" x14ac:dyDescent="0.3">
      <c r="B604" s="444"/>
      <c r="C604" s="35" t="s">
        <v>0</v>
      </c>
      <c r="D604" s="36">
        <f t="shared" ref="D604:P604" si="156">SUM(D601:D603)</f>
        <v>6617</v>
      </c>
      <c r="E604" s="36">
        <f t="shared" si="156"/>
        <v>5796</v>
      </c>
      <c r="F604" s="36">
        <f t="shared" si="156"/>
        <v>6452</v>
      </c>
      <c r="G604" s="36">
        <f t="shared" si="156"/>
        <v>6137</v>
      </c>
      <c r="H604" s="36">
        <f t="shared" si="156"/>
        <v>6501</v>
      </c>
      <c r="I604" s="36">
        <f t="shared" si="156"/>
        <v>5960</v>
      </c>
      <c r="J604" s="36">
        <f t="shared" si="156"/>
        <v>7045</v>
      </c>
      <c r="K604" s="36">
        <f t="shared" si="156"/>
        <v>6892</v>
      </c>
      <c r="L604" s="36">
        <f t="shared" si="156"/>
        <v>6452</v>
      </c>
      <c r="M604" s="36">
        <f t="shared" si="156"/>
        <v>5514</v>
      </c>
      <c r="N604" s="36">
        <f t="shared" si="156"/>
        <v>6570</v>
      </c>
      <c r="O604" s="36">
        <f t="shared" si="156"/>
        <v>6878</v>
      </c>
      <c r="P604" s="37">
        <f t="shared" si="156"/>
        <v>76814</v>
      </c>
      <c r="Q604" s="352"/>
    </row>
    <row r="605" spans="2:18" ht="12.75" hidden="1" customHeight="1" x14ac:dyDescent="0.25">
      <c r="B605" s="430" t="s">
        <v>9</v>
      </c>
      <c r="C605" s="38" t="s">
        <v>11</v>
      </c>
      <c r="D605" s="39">
        <v>4284</v>
      </c>
      <c r="E605" s="40">
        <v>3762</v>
      </c>
      <c r="F605" s="40">
        <v>4473</v>
      </c>
      <c r="G605" s="40">
        <v>4649</v>
      </c>
      <c r="H605" s="40">
        <v>4164</v>
      </c>
      <c r="I605" s="40">
        <v>4477</v>
      </c>
      <c r="J605" s="40">
        <v>4766</v>
      </c>
      <c r="K605" s="40">
        <v>3689</v>
      </c>
      <c r="L605" s="40">
        <v>4338</v>
      </c>
      <c r="M605" s="40">
        <v>5175</v>
      </c>
      <c r="N605" s="40">
        <v>4301</v>
      </c>
      <c r="O605" s="40">
        <v>5164</v>
      </c>
      <c r="P605" s="41">
        <f>SUM(D605:O605)</f>
        <v>53242</v>
      </c>
      <c r="Q605" s="352"/>
    </row>
    <row r="606" spans="2:18" ht="12.75" hidden="1" customHeight="1" x14ac:dyDescent="0.25">
      <c r="B606" s="431"/>
      <c r="C606" s="24" t="s">
        <v>12</v>
      </c>
      <c r="D606" s="25">
        <v>8406</v>
      </c>
      <c r="E606" s="26">
        <v>7581</v>
      </c>
      <c r="F606" s="26">
        <v>9192</v>
      </c>
      <c r="G606" s="26">
        <v>8427</v>
      </c>
      <c r="H606" s="26">
        <v>8070</v>
      </c>
      <c r="I606" s="26">
        <v>8609</v>
      </c>
      <c r="J606" s="26">
        <v>8789</v>
      </c>
      <c r="K606" s="26">
        <v>7258</v>
      </c>
      <c r="L606" s="26">
        <v>7737</v>
      </c>
      <c r="M606" s="26">
        <v>8697</v>
      </c>
      <c r="N606" s="26">
        <v>8316</v>
      </c>
      <c r="O606" s="26">
        <v>8371</v>
      </c>
      <c r="P606" s="27">
        <f>SUM(D606:O606)</f>
        <v>99453</v>
      </c>
    </row>
    <row r="607" spans="2:18" ht="12.75" hidden="1" customHeight="1" thickBot="1" x14ac:dyDescent="0.3">
      <c r="B607" s="432"/>
      <c r="C607" s="42" t="s">
        <v>0</v>
      </c>
      <c r="D607" s="43">
        <f t="shared" ref="D607:P607" si="157">SUM(D605:D606)</f>
        <v>12690</v>
      </c>
      <c r="E607" s="43">
        <f t="shared" si="157"/>
        <v>11343</v>
      </c>
      <c r="F607" s="43">
        <f t="shared" si="157"/>
        <v>13665</v>
      </c>
      <c r="G607" s="43">
        <f t="shared" si="157"/>
        <v>13076</v>
      </c>
      <c r="H607" s="43">
        <f t="shared" si="157"/>
        <v>12234</v>
      </c>
      <c r="I607" s="43">
        <f t="shared" si="157"/>
        <v>13086</v>
      </c>
      <c r="J607" s="43">
        <f t="shared" si="157"/>
        <v>13555</v>
      </c>
      <c r="K607" s="43">
        <f t="shared" si="157"/>
        <v>10947</v>
      </c>
      <c r="L607" s="43">
        <f t="shared" si="157"/>
        <v>12075</v>
      </c>
      <c r="M607" s="43">
        <f t="shared" si="157"/>
        <v>13872</v>
      </c>
      <c r="N607" s="43">
        <f t="shared" si="157"/>
        <v>12617</v>
      </c>
      <c r="O607" s="43">
        <f t="shared" si="157"/>
        <v>13535</v>
      </c>
      <c r="P607" s="44">
        <f t="shared" si="157"/>
        <v>152695</v>
      </c>
    </row>
    <row r="608" spans="2:18" ht="12.75" hidden="1" customHeight="1" x14ac:dyDescent="0.25">
      <c r="B608" s="430" t="s">
        <v>10</v>
      </c>
      <c r="C608" s="38" t="s">
        <v>13</v>
      </c>
      <c r="D608" s="39">
        <v>627</v>
      </c>
      <c r="E608" s="40">
        <v>757</v>
      </c>
      <c r="F608" s="40">
        <v>798</v>
      </c>
      <c r="G608" s="40">
        <v>720</v>
      </c>
      <c r="H608" s="40">
        <v>655</v>
      </c>
      <c r="I608" s="40">
        <v>569</v>
      </c>
      <c r="J608" s="40">
        <v>594</v>
      </c>
      <c r="K608" s="40">
        <v>522</v>
      </c>
      <c r="L608" s="40">
        <v>675</v>
      </c>
      <c r="M608" s="40">
        <v>709</v>
      </c>
      <c r="N608" s="40">
        <v>664</v>
      </c>
      <c r="O608" s="40">
        <v>749</v>
      </c>
      <c r="P608" s="41">
        <f>SUM(D608:O608)</f>
        <v>8039</v>
      </c>
      <c r="Q608" s="352"/>
    </row>
    <row r="609" spans="2:17" ht="12.75" hidden="1" customHeight="1" x14ac:dyDescent="0.25">
      <c r="B609" s="431"/>
      <c r="C609" s="24" t="s">
        <v>14</v>
      </c>
      <c r="D609" s="25">
        <v>1775</v>
      </c>
      <c r="E609" s="26">
        <v>1944</v>
      </c>
      <c r="F609" s="26">
        <v>2211</v>
      </c>
      <c r="G609" s="26">
        <v>2129</v>
      </c>
      <c r="H609" s="26">
        <v>2082</v>
      </c>
      <c r="I609" s="26">
        <v>2030</v>
      </c>
      <c r="J609" s="26">
        <v>1984</v>
      </c>
      <c r="K609" s="26">
        <v>1780</v>
      </c>
      <c r="L609" s="26">
        <v>2067</v>
      </c>
      <c r="M609" s="26">
        <v>2341</v>
      </c>
      <c r="N609" s="26">
        <v>2041</v>
      </c>
      <c r="O609" s="26">
        <v>1942</v>
      </c>
      <c r="P609" s="27">
        <f>SUM(D609:O609)</f>
        <v>24326</v>
      </c>
    </row>
    <row r="610" spans="2:17" ht="12.75" hidden="1" customHeight="1" thickBot="1" x14ac:dyDescent="0.3">
      <c r="B610" s="432"/>
      <c r="C610" s="42" t="s">
        <v>0</v>
      </c>
      <c r="D610" s="43">
        <f t="shared" ref="D610:P610" si="158">SUM(D608:D609)</f>
        <v>2402</v>
      </c>
      <c r="E610" s="43">
        <f t="shared" si="158"/>
        <v>2701</v>
      </c>
      <c r="F610" s="43">
        <f t="shared" si="158"/>
        <v>3009</v>
      </c>
      <c r="G610" s="43">
        <f t="shared" si="158"/>
        <v>2849</v>
      </c>
      <c r="H610" s="43">
        <f t="shared" si="158"/>
        <v>2737</v>
      </c>
      <c r="I610" s="43">
        <f t="shared" si="158"/>
        <v>2599</v>
      </c>
      <c r="J610" s="43">
        <f t="shared" si="158"/>
        <v>2578</v>
      </c>
      <c r="K610" s="43">
        <f t="shared" si="158"/>
        <v>2302</v>
      </c>
      <c r="L610" s="43">
        <f t="shared" si="158"/>
        <v>2742</v>
      </c>
      <c r="M610" s="43">
        <f t="shared" si="158"/>
        <v>3050</v>
      </c>
      <c r="N610" s="43">
        <f t="shared" si="158"/>
        <v>2705</v>
      </c>
      <c r="O610" s="43">
        <f t="shared" si="158"/>
        <v>2691</v>
      </c>
      <c r="P610" s="44">
        <f t="shared" si="158"/>
        <v>32365</v>
      </c>
    </row>
    <row r="611" spans="2:17" ht="12.75" hidden="1" customHeight="1" thickBot="1" x14ac:dyDescent="0.3">
      <c r="B611" s="435" t="s">
        <v>2</v>
      </c>
      <c r="C611" s="436"/>
      <c r="D611" s="45">
        <f t="shared" ref="D611:P611" si="159">D600+D604+D610+D607</f>
        <v>49386</v>
      </c>
      <c r="E611" s="45">
        <f t="shared" si="159"/>
        <v>37924</v>
      </c>
      <c r="F611" s="45">
        <f t="shared" si="159"/>
        <v>51133</v>
      </c>
      <c r="G611" s="45">
        <f t="shared" si="159"/>
        <v>49047</v>
      </c>
      <c r="H611" s="45">
        <f t="shared" si="159"/>
        <v>47299</v>
      </c>
      <c r="I611" s="45">
        <f t="shared" si="159"/>
        <v>49323</v>
      </c>
      <c r="J611" s="45">
        <f t="shared" si="159"/>
        <v>50939</v>
      </c>
      <c r="K611" s="45">
        <f t="shared" si="159"/>
        <v>45864</v>
      </c>
      <c r="L611" s="45">
        <f t="shared" si="159"/>
        <v>49092</v>
      </c>
      <c r="M611" s="45">
        <f t="shared" si="159"/>
        <v>50275</v>
      </c>
      <c r="N611" s="45">
        <f t="shared" si="159"/>
        <v>46916</v>
      </c>
      <c r="O611" s="45">
        <f t="shared" si="159"/>
        <v>50682</v>
      </c>
      <c r="P611" s="45">
        <f t="shared" si="159"/>
        <v>577880</v>
      </c>
      <c r="Q611" s="352"/>
    </row>
    <row r="612" spans="2:17" hidden="1" x14ac:dyDescent="0.25"/>
    <row r="613" spans="2:17" hidden="1" x14ac:dyDescent="0.25">
      <c r="B613" s="82" t="s">
        <v>24</v>
      </c>
      <c r="C613" s="83"/>
      <c r="D613" s="84">
        <f>SUM(D614:D615)</f>
        <v>13530</v>
      </c>
      <c r="E613" s="84">
        <f t="shared" ref="E613:O613" si="160">SUM(E614:E615)</f>
        <v>7384</v>
      </c>
      <c r="F613" s="84">
        <f t="shared" si="160"/>
        <v>12155</v>
      </c>
      <c r="G613" s="84">
        <f t="shared" si="160"/>
        <v>10186</v>
      </c>
      <c r="H613" s="84">
        <f t="shared" si="160"/>
        <v>10401</v>
      </c>
      <c r="I613" s="84">
        <f t="shared" si="160"/>
        <v>11113</v>
      </c>
      <c r="J613" s="84">
        <f t="shared" si="160"/>
        <v>11050</v>
      </c>
      <c r="K613" s="84">
        <f t="shared" si="160"/>
        <v>10283</v>
      </c>
      <c r="L613" s="84">
        <f t="shared" si="160"/>
        <v>11406</v>
      </c>
      <c r="M613" s="84">
        <f t="shared" si="160"/>
        <v>12625</v>
      </c>
      <c r="N613" s="84">
        <f t="shared" si="160"/>
        <v>10354</v>
      </c>
      <c r="O613" s="84">
        <f t="shared" si="160"/>
        <v>10500</v>
      </c>
      <c r="P613" s="85">
        <f>SUM(P614:P615)</f>
        <v>130987</v>
      </c>
    </row>
    <row r="614" spans="2:17" ht="9" hidden="1" customHeight="1" x14ac:dyDescent="0.25">
      <c r="B614" s="86"/>
      <c r="C614" s="87" t="s">
        <v>28</v>
      </c>
      <c r="D614" s="100">
        <v>13347</v>
      </c>
      <c r="E614" s="100">
        <v>7226</v>
      </c>
      <c r="F614" s="88">
        <v>11867</v>
      </c>
      <c r="G614" s="101">
        <v>9888</v>
      </c>
      <c r="H614" s="88">
        <v>10168</v>
      </c>
      <c r="I614" s="98">
        <v>10893</v>
      </c>
      <c r="J614" s="98">
        <v>10840</v>
      </c>
      <c r="K614" s="88">
        <v>10127</v>
      </c>
      <c r="L614" s="88">
        <v>11306</v>
      </c>
      <c r="M614" s="88">
        <v>12525</v>
      </c>
      <c r="N614" s="88">
        <v>10252</v>
      </c>
      <c r="O614" s="88">
        <v>10442</v>
      </c>
      <c r="P614" s="89">
        <f>SUM(D614:O614)</f>
        <v>128881</v>
      </c>
    </row>
    <row r="615" spans="2:17" ht="9" hidden="1" customHeight="1" x14ac:dyDescent="0.25">
      <c r="B615" s="90"/>
      <c r="C615" s="87" t="s">
        <v>23</v>
      </c>
      <c r="D615" s="100">
        <v>183</v>
      </c>
      <c r="E615" s="100">
        <v>158</v>
      </c>
      <c r="F615" s="88">
        <v>288</v>
      </c>
      <c r="G615" s="101">
        <v>298</v>
      </c>
      <c r="H615" s="88">
        <v>233</v>
      </c>
      <c r="I615" s="98">
        <v>220</v>
      </c>
      <c r="J615" s="99">
        <v>210</v>
      </c>
      <c r="K615" s="91">
        <v>156</v>
      </c>
      <c r="L615" s="91">
        <v>100</v>
      </c>
      <c r="M615" s="91">
        <v>100</v>
      </c>
      <c r="N615" s="91">
        <v>102</v>
      </c>
      <c r="O615" s="91">
        <v>58</v>
      </c>
      <c r="P615" s="89">
        <f>SUM(D615:O615)</f>
        <v>2106</v>
      </c>
    </row>
    <row r="616" spans="2:17" ht="6" hidden="1" customHeight="1" x14ac:dyDescent="0.25">
      <c r="G616" s="92"/>
      <c r="L616" s="92"/>
      <c r="P616" s="46"/>
      <c r="Q616" s="115"/>
    </row>
    <row r="617" spans="2:17" hidden="1" x14ac:dyDescent="0.25">
      <c r="B617" s="93" t="s">
        <v>25</v>
      </c>
      <c r="C617" s="94"/>
      <c r="D617" s="84">
        <f>SUM(D618:D620)</f>
        <v>8040</v>
      </c>
      <c r="E617" s="84">
        <f>SUM(E618:E620)</f>
        <v>7498</v>
      </c>
      <c r="F617" s="84">
        <f t="shared" ref="F617:O617" si="161">SUM(F618:F620)</f>
        <v>9514</v>
      </c>
      <c r="G617" s="84">
        <f t="shared" si="161"/>
        <v>8543</v>
      </c>
      <c r="H617" s="84">
        <f t="shared" si="161"/>
        <v>7434</v>
      </c>
      <c r="I617" s="84">
        <f t="shared" si="161"/>
        <v>9102</v>
      </c>
      <c r="J617" s="84">
        <f t="shared" si="161"/>
        <v>8867</v>
      </c>
      <c r="K617" s="84">
        <f t="shared" si="161"/>
        <v>8583</v>
      </c>
      <c r="L617" s="84">
        <f t="shared" si="161"/>
        <v>9951</v>
      </c>
      <c r="M617" s="84">
        <f t="shared" si="161"/>
        <v>8791</v>
      </c>
      <c r="N617" s="84">
        <f t="shared" si="161"/>
        <v>8597</v>
      </c>
      <c r="O617" s="84">
        <f t="shared" si="161"/>
        <v>9160</v>
      </c>
      <c r="P617" s="84">
        <f>SUM(P618:P620)</f>
        <v>104080</v>
      </c>
    </row>
    <row r="618" spans="2:17" ht="9" hidden="1" customHeight="1" x14ac:dyDescent="0.25">
      <c r="B618" s="86"/>
      <c r="C618" s="87" t="s">
        <v>201</v>
      </c>
      <c r="D618" s="88">
        <v>1155</v>
      </c>
      <c r="E618" s="88">
        <v>1134</v>
      </c>
      <c r="F618" s="88">
        <v>1656</v>
      </c>
      <c r="G618" s="88">
        <v>1383</v>
      </c>
      <c r="H618" s="88">
        <v>1453</v>
      </c>
      <c r="I618" s="88">
        <v>1304</v>
      </c>
      <c r="J618" s="88">
        <v>1150</v>
      </c>
      <c r="K618" s="88">
        <v>1046</v>
      </c>
      <c r="L618" s="88">
        <v>1234</v>
      </c>
      <c r="M618" s="88">
        <v>1437</v>
      </c>
      <c r="N618" s="88">
        <v>1141</v>
      </c>
      <c r="O618" s="88">
        <v>1170</v>
      </c>
      <c r="P618" s="89">
        <f>SUM(D618:O618)</f>
        <v>15263</v>
      </c>
    </row>
    <row r="619" spans="2:17" ht="9" hidden="1" customHeight="1" x14ac:dyDescent="0.25">
      <c r="B619" s="86"/>
      <c r="C619" s="87" t="s">
        <v>26</v>
      </c>
      <c r="D619" s="88">
        <v>6885</v>
      </c>
      <c r="E619" s="88">
        <v>6364</v>
      </c>
      <c r="F619" s="88">
        <v>7858</v>
      </c>
      <c r="G619" s="88">
        <v>7160</v>
      </c>
      <c r="H619" s="88">
        <v>5981</v>
      </c>
      <c r="I619" s="88">
        <v>6511</v>
      </c>
      <c r="J619" s="88">
        <v>6230</v>
      </c>
      <c r="K619" s="88">
        <v>6337</v>
      </c>
      <c r="L619" s="88">
        <v>7806</v>
      </c>
      <c r="M619" s="88">
        <v>6760</v>
      </c>
      <c r="N619" s="88">
        <v>6425</v>
      </c>
      <c r="O619" s="88">
        <v>7307</v>
      </c>
      <c r="P619" s="89">
        <f>SUM(D619:O619)</f>
        <v>81624</v>
      </c>
    </row>
    <row r="620" spans="2:17" ht="9" hidden="1" customHeight="1" x14ac:dyDescent="0.25">
      <c r="B620" s="90"/>
      <c r="C620" s="87" t="s">
        <v>23</v>
      </c>
      <c r="D620" s="91">
        <v>0</v>
      </c>
      <c r="E620" s="91">
        <v>0</v>
      </c>
      <c r="F620" s="91">
        <v>0</v>
      </c>
      <c r="G620" s="91">
        <v>0</v>
      </c>
      <c r="H620" s="91">
        <v>0</v>
      </c>
      <c r="I620" s="91">
        <v>1287</v>
      </c>
      <c r="J620" s="91">
        <v>1487</v>
      </c>
      <c r="K620" s="91">
        <v>1200</v>
      </c>
      <c r="L620" s="91">
        <v>911</v>
      </c>
      <c r="M620" s="91">
        <v>594</v>
      </c>
      <c r="N620" s="91">
        <v>1031</v>
      </c>
      <c r="O620" s="91">
        <v>683</v>
      </c>
      <c r="P620" s="89">
        <f>SUM(D620:O620)</f>
        <v>7193</v>
      </c>
    </row>
    <row r="621" spans="2:17" ht="6" hidden="1" customHeight="1" x14ac:dyDescent="0.25">
      <c r="P621" s="354"/>
    </row>
    <row r="622" spans="2:17" hidden="1" x14ac:dyDescent="0.25">
      <c r="B622" s="82" t="s">
        <v>27</v>
      </c>
      <c r="C622" s="83"/>
      <c r="D622" s="84">
        <f t="shared" ref="D622:P622" si="162">SUM(D623:D624)</f>
        <v>606</v>
      </c>
      <c r="E622" s="84">
        <f t="shared" si="162"/>
        <v>266</v>
      </c>
      <c r="F622" s="84">
        <f t="shared" si="162"/>
        <v>262</v>
      </c>
      <c r="G622" s="84">
        <f t="shared" si="162"/>
        <v>276</v>
      </c>
      <c r="H622" s="84">
        <f t="shared" si="162"/>
        <v>130</v>
      </c>
      <c r="I622" s="84">
        <f t="shared" si="162"/>
        <v>321</v>
      </c>
      <c r="J622" s="84">
        <f t="shared" si="162"/>
        <v>32</v>
      </c>
      <c r="K622" s="84">
        <f t="shared" si="162"/>
        <v>1</v>
      </c>
      <c r="L622" s="84">
        <f t="shared" si="162"/>
        <v>0</v>
      </c>
      <c r="M622" s="84">
        <f t="shared" si="162"/>
        <v>0</v>
      </c>
      <c r="N622" s="84">
        <f t="shared" si="162"/>
        <v>0</v>
      </c>
      <c r="O622" s="84">
        <f t="shared" si="162"/>
        <v>0</v>
      </c>
      <c r="P622" s="85">
        <f t="shared" si="162"/>
        <v>1894</v>
      </c>
    </row>
    <row r="623" spans="2:17" ht="9" hidden="1" customHeight="1" x14ac:dyDescent="0.25">
      <c r="B623" s="86"/>
      <c r="C623" s="87" t="s">
        <v>213</v>
      </c>
      <c r="D623" s="100">
        <v>606</v>
      </c>
      <c r="E623" s="100">
        <v>266</v>
      </c>
      <c r="F623" s="88">
        <v>262</v>
      </c>
      <c r="G623" s="101">
        <v>276</v>
      </c>
      <c r="H623" s="88">
        <v>130</v>
      </c>
      <c r="I623" s="98">
        <v>321</v>
      </c>
      <c r="J623" s="98">
        <v>32</v>
      </c>
      <c r="K623" s="88">
        <v>1</v>
      </c>
      <c r="L623" s="88">
        <v>0</v>
      </c>
      <c r="M623" s="88">
        <v>0</v>
      </c>
      <c r="N623" s="88">
        <v>0</v>
      </c>
      <c r="O623" s="88">
        <v>0</v>
      </c>
      <c r="P623" s="89">
        <f>SUM(D623:O623)</f>
        <v>1894</v>
      </c>
    </row>
    <row r="624" spans="2:17" hidden="1" x14ac:dyDescent="0.25"/>
    <row r="625" spans="2:17" ht="15" hidden="1" thickBot="1" x14ac:dyDescent="0.3">
      <c r="B625" s="18" t="s">
        <v>214</v>
      </c>
      <c r="C625" s="18"/>
      <c r="Q625"/>
    </row>
    <row r="626" spans="2:17" ht="12.75" hidden="1" customHeight="1" thickBot="1" x14ac:dyDescent="0.3">
      <c r="B626" s="437" t="s">
        <v>1</v>
      </c>
      <c r="C626" s="438"/>
      <c r="D626" s="21">
        <v>1</v>
      </c>
      <c r="E626" s="22">
        <v>2</v>
      </c>
      <c r="F626" s="22">
        <v>3</v>
      </c>
      <c r="G626" s="22">
        <v>4</v>
      </c>
      <c r="H626" s="22">
        <v>5</v>
      </c>
      <c r="I626" s="22">
        <v>6</v>
      </c>
      <c r="J626" s="22">
        <v>7</v>
      </c>
      <c r="K626" s="22">
        <v>8</v>
      </c>
      <c r="L626" s="22">
        <v>9</v>
      </c>
      <c r="M626" s="22">
        <v>10</v>
      </c>
      <c r="N626" s="22">
        <v>11</v>
      </c>
      <c r="O626" s="22">
        <v>12</v>
      </c>
      <c r="P626" s="23" t="s">
        <v>0</v>
      </c>
      <c r="Q626"/>
    </row>
    <row r="627" spans="2:17" ht="12.75" hidden="1" customHeight="1" x14ac:dyDescent="0.25">
      <c r="B627" s="443" t="s">
        <v>206</v>
      </c>
      <c r="C627" s="24" t="s">
        <v>207</v>
      </c>
      <c r="D627" s="25">
        <v>715</v>
      </c>
      <c r="E627" s="26">
        <v>385</v>
      </c>
      <c r="F627" s="25">
        <v>379</v>
      </c>
      <c r="G627" s="26">
        <v>342</v>
      </c>
      <c r="H627" s="26">
        <v>280</v>
      </c>
      <c r="I627" s="26">
        <v>299</v>
      </c>
      <c r="J627" s="26">
        <v>230</v>
      </c>
      <c r="K627" s="26">
        <v>273</v>
      </c>
      <c r="L627" s="26">
        <v>128</v>
      </c>
      <c r="M627" s="26">
        <v>322</v>
      </c>
      <c r="N627" s="26">
        <v>396</v>
      </c>
      <c r="O627" s="26">
        <v>130</v>
      </c>
      <c r="P627" s="27">
        <f t="shared" ref="P627:P639" si="163">SUM(D627:O627)</f>
        <v>3879</v>
      </c>
      <c r="Q627"/>
    </row>
    <row r="628" spans="2:17" ht="12.75" hidden="1" customHeight="1" x14ac:dyDescent="0.25">
      <c r="B628" s="443"/>
      <c r="C628" s="28" t="s">
        <v>208</v>
      </c>
      <c r="D628" s="29">
        <v>1075</v>
      </c>
      <c r="E628" s="30">
        <v>612</v>
      </c>
      <c r="F628" s="29">
        <v>726</v>
      </c>
      <c r="G628" s="30">
        <v>606</v>
      </c>
      <c r="H628" s="30">
        <v>504</v>
      </c>
      <c r="I628" s="30">
        <v>365</v>
      </c>
      <c r="J628" s="30">
        <v>517</v>
      </c>
      <c r="K628" s="30">
        <v>439</v>
      </c>
      <c r="L628" s="30">
        <v>405</v>
      </c>
      <c r="M628" s="30">
        <v>464</v>
      </c>
      <c r="N628" s="30">
        <v>209</v>
      </c>
      <c r="O628" s="30">
        <v>15</v>
      </c>
      <c r="P628" s="31">
        <f t="shared" si="163"/>
        <v>5937</v>
      </c>
      <c r="Q628"/>
    </row>
    <row r="629" spans="2:17" ht="12.75" hidden="1" customHeight="1" x14ac:dyDescent="0.25">
      <c r="B629" s="443"/>
      <c r="C629" s="28" t="s">
        <v>21</v>
      </c>
      <c r="D629" s="29"/>
      <c r="E629" s="30"/>
      <c r="F629" s="29"/>
      <c r="G629" s="30"/>
      <c r="H629" s="30"/>
      <c r="I629" s="30"/>
      <c r="J629" s="30"/>
      <c r="K629" s="30"/>
      <c r="L629" s="30"/>
      <c r="M629" s="30"/>
      <c r="N629" s="30">
        <v>1021</v>
      </c>
      <c r="O629" s="30">
        <v>1983</v>
      </c>
      <c r="P629" s="31">
        <f>SUM(D629:O629)</f>
        <v>3004</v>
      </c>
      <c r="Q629"/>
    </row>
    <row r="630" spans="2:17" ht="12.75" hidden="1" customHeight="1" x14ac:dyDescent="0.25">
      <c r="B630" s="443"/>
      <c r="C630" s="28" t="s">
        <v>215</v>
      </c>
      <c r="D630" s="29">
        <v>7566</v>
      </c>
      <c r="E630" s="30">
        <v>6964</v>
      </c>
      <c r="F630" s="29">
        <v>8533</v>
      </c>
      <c r="G630" s="30">
        <v>8327</v>
      </c>
      <c r="H630" s="30">
        <v>7612</v>
      </c>
      <c r="I630" s="30">
        <v>6457</v>
      </c>
      <c r="J630" s="30">
        <v>7273</v>
      </c>
      <c r="K630" s="30">
        <v>4727</v>
      </c>
      <c r="L630" s="30">
        <v>550</v>
      </c>
      <c r="M630" s="30">
        <v>777</v>
      </c>
      <c r="N630" s="30">
        <v>10</v>
      </c>
      <c r="O630" s="30">
        <v>21</v>
      </c>
      <c r="P630" s="31">
        <f t="shared" si="163"/>
        <v>58817</v>
      </c>
      <c r="Q630"/>
    </row>
    <row r="631" spans="2:17" ht="12.75" hidden="1" customHeight="1" x14ac:dyDescent="0.25">
      <c r="B631" s="443"/>
      <c r="C631" s="28" t="s">
        <v>216</v>
      </c>
      <c r="D631" s="29"/>
      <c r="E631" s="30"/>
      <c r="F631" s="29"/>
      <c r="G631" s="30"/>
      <c r="H631" s="30"/>
      <c r="I631" s="30"/>
      <c r="J631" s="30"/>
      <c r="K631" s="30">
        <v>9122</v>
      </c>
      <c r="L631" s="30">
        <v>15632</v>
      </c>
      <c r="M631" s="30">
        <v>18875</v>
      </c>
      <c r="N631" s="30">
        <v>16225</v>
      </c>
      <c r="O631" s="30">
        <v>17012</v>
      </c>
      <c r="P631" s="31">
        <f t="shared" si="163"/>
        <v>76866</v>
      </c>
      <c r="Q631"/>
    </row>
    <row r="632" spans="2:17" ht="12.75" hidden="1" customHeight="1" x14ac:dyDescent="0.25">
      <c r="B632" s="443"/>
      <c r="C632" s="28" t="s">
        <v>217</v>
      </c>
      <c r="D632" s="29">
        <v>526</v>
      </c>
      <c r="E632" s="30">
        <v>266</v>
      </c>
      <c r="F632" s="29">
        <v>800</v>
      </c>
      <c r="G632" s="30">
        <v>493</v>
      </c>
      <c r="H632" s="30">
        <v>392</v>
      </c>
      <c r="I632" s="30">
        <v>294</v>
      </c>
      <c r="J632" s="30">
        <v>303</v>
      </c>
      <c r="K632" s="30">
        <v>234</v>
      </c>
      <c r="L632" s="30">
        <v>169</v>
      </c>
      <c r="M632" s="30">
        <v>162</v>
      </c>
      <c r="N632" s="30">
        <v>230</v>
      </c>
      <c r="O632" s="30">
        <v>264</v>
      </c>
      <c r="P632" s="31">
        <f t="shared" si="163"/>
        <v>4133</v>
      </c>
      <c r="Q632"/>
    </row>
    <row r="633" spans="2:17" ht="12.75" hidden="1" customHeight="1" x14ac:dyDescent="0.25">
      <c r="B633" s="443"/>
      <c r="C633" s="28" t="s">
        <v>3</v>
      </c>
      <c r="D633" s="29">
        <v>1325</v>
      </c>
      <c r="E633" s="30">
        <v>1037</v>
      </c>
      <c r="F633" s="29">
        <v>1101</v>
      </c>
      <c r="G633" s="30">
        <v>936</v>
      </c>
      <c r="H633" s="30">
        <v>914</v>
      </c>
      <c r="I633" s="30">
        <v>882</v>
      </c>
      <c r="J633" s="30">
        <v>741</v>
      </c>
      <c r="K633" s="30">
        <v>474</v>
      </c>
      <c r="L633" s="30">
        <v>124</v>
      </c>
      <c r="M633" s="30">
        <v>354</v>
      </c>
      <c r="N633" s="30">
        <v>617</v>
      </c>
      <c r="O633" s="30">
        <v>661</v>
      </c>
      <c r="P633" s="31">
        <f t="shared" si="163"/>
        <v>9166</v>
      </c>
      <c r="Q633"/>
    </row>
    <row r="634" spans="2:17" ht="12.75" hidden="1" customHeight="1" x14ac:dyDescent="0.25">
      <c r="B634" s="443"/>
      <c r="C634" s="28" t="s">
        <v>218</v>
      </c>
      <c r="D634" s="29">
        <v>1434</v>
      </c>
      <c r="E634" s="30">
        <v>1074</v>
      </c>
      <c r="F634" s="29">
        <v>1304</v>
      </c>
      <c r="G634" s="30">
        <v>1433</v>
      </c>
      <c r="H634" s="30">
        <v>1367</v>
      </c>
      <c r="I634" s="30">
        <v>1325</v>
      </c>
      <c r="J634" s="30">
        <v>1187</v>
      </c>
      <c r="K634" s="30">
        <v>1465</v>
      </c>
      <c r="L634" s="30">
        <v>1204</v>
      </c>
      <c r="M634" s="30">
        <v>1514</v>
      </c>
      <c r="N634" s="30">
        <v>1417</v>
      </c>
      <c r="O634" s="30">
        <v>1564</v>
      </c>
      <c r="P634" s="31">
        <f t="shared" si="163"/>
        <v>16288</v>
      </c>
      <c r="Q634"/>
    </row>
    <row r="635" spans="2:17" ht="12.75" hidden="1" customHeight="1" x14ac:dyDescent="0.25">
      <c r="B635" s="443"/>
      <c r="C635" s="28" t="s">
        <v>219</v>
      </c>
      <c r="D635" s="29">
        <v>13928</v>
      </c>
      <c r="E635" s="30">
        <v>12217</v>
      </c>
      <c r="F635" s="29">
        <v>14575</v>
      </c>
      <c r="G635" s="30">
        <v>11138</v>
      </c>
      <c r="H635" s="30">
        <v>9053</v>
      </c>
      <c r="I635" s="30">
        <v>9957</v>
      </c>
      <c r="J635" s="30">
        <v>8469</v>
      </c>
      <c r="K635" s="30">
        <v>7831</v>
      </c>
      <c r="L635" s="30">
        <v>13860</v>
      </c>
      <c r="M635" s="30">
        <v>12239</v>
      </c>
      <c r="N635" s="30">
        <v>12269</v>
      </c>
      <c r="O635" s="30">
        <v>10199</v>
      </c>
      <c r="P635" s="31">
        <f t="shared" si="163"/>
        <v>135735</v>
      </c>
      <c r="Q635"/>
    </row>
    <row r="636" spans="2:17" ht="12.75" hidden="1" customHeight="1" x14ac:dyDescent="0.25">
      <c r="B636" s="443"/>
      <c r="C636" s="28" t="s">
        <v>27</v>
      </c>
      <c r="D636" s="29">
        <v>5391</v>
      </c>
      <c r="E636" s="30">
        <v>3552</v>
      </c>
      <c r="F636" s="29">
        <v>3711</v>
      </c>
      <c r="G636" s="30">
        <v>3221</v>
      </c>
      <c r="H636" s="30">
        <v>2358</v>
      </c>
      <c r="I636" s="30">
        <v>1862</v>
      </c>
      <c r="J636" s="30">
        <v>2114</v>
      </c>
      <c r="K636" s="30">
        <v>1717</v>
      </c>
      <c r="L636" s="30">
        <v>2003</v>
      </c>
      <c r="M636" s="30">
        <v>2187</v>
      </c>
      <c r="N636" s="30">
        <v>2764</v>
      </c>
      <c r="O636" s="30">
        <v>2013</v>
      </c>
      <c r="P636" s="31">
        <f t="shared" si="163"/>
        <v>32893</v>
      </c>
      <c r="Q636"/>
    </row>
    <row r="637" spans="2:17" ht="12.75" hidden="1" customHeight="1" x14ac:dyDescent="0.25">
      <c r="B637" s="443"/>
      <c r="C637" s="28" t="s">
        <v>4</v>
      </c>
      <c r="D637" s="29">
        <v>2349</v>
      </c>
      <c r="E637" s="30">
        <v>1979</v>
      </c>
      <c r="F637" s="29">
        <v>2339</v>
      </c>
      <c r="G637" s="30">
        <v>2151</v>
      </c>
      <c r="H637" s="30">
        <v>2315</v>
      </c>
      <c r="I637" s="30">
        <v>2118</v>
      </c>
      <c r="J637" s="30">
        <v>2226</v>
      </c>
      <c r="K637" s="30">
        <v>1692</v>
      </c>
      <c r="L637" s="30">
        <v>1449</v>
      </c>
      <c r="M637" s="30">
        <v>1540</v>
      </c>
      <c r="N637" s="30">
        <v>1526</v>
      </c>
      <c r="O637" s="30">
        <v>2208</v>
      </c>
      <c r="P637" s="31">
        <f t="shared" si="163"/>
        <v>23892</v>
      </c>
      <c r="Q637"/>
    </row>
    <row r="638" spans="2:17" ht="12.75" hidden="1" customHeight="1" x14ac:dyDescent="0.25">
      <c r="B638" s="443"/>
      <c r="C638" s="28" t="s">
        <v>5</v>
      </c>
      <c r="D638" s="29">
        <v>252</v>
      </c>
      <c r="E638" s="30">
        <v>297</v>
      </c>
      <c r="F638" s="29">
        <v>436</v>
      </c>
      <c r="G638" s="30">
        <v>250</v>
      </c>
      <c r="H638" s="30">
        <v>231</v>
      </c>
      <c r="I638" s="30">
        <v>215</v>
      </c>
      <c r="J638" s="30">
        <v>248</v>
      </c>
      <c r="K638" s="30">
        <v>242</v>
      </c>
      <c r="L638" s="30">
        <v>165</v>
      </c>
      <c r="M638" s="30">
        <v>133</v>
      </c>
      <c r="N638" s="30">
        <v>148</v>
      </c>
      <c r="O638" s="30">
        <v>172</v>
      </c>
      <c r="P638" s="31">
        <f t="shared" si="163"/>
        <v>2789</v>
      </c>
      <c r="Q638"/>
    </row>
    <row r="639" spans="2:17" ht="12.75" hidden="1" customHeight="1" x14ac:dyDescent="0.25">
      <c r="B639" s="443"/>
      <c r="C639" s="28" t="s">
        <v>6</v>
      </c>
      <c r="D639" s="29">
        <v>1396</v>
      </c>
      <c r="E639" s="30">
        <v>1321</v>
      </c>
      <c r="F639" s="29">
        <v>1563</v>
      </c>
      <c r="G639" s="30">
        <v>1470</v>
      </c>
      <c r="H639" s="30">
        <v>1314</v>
      </c>
      <c r="I639" s="30">
        <v>1274</v>
      </c>
      <c r="J639" s="30">
        <v>1290</v>
      </c>
      <c r="K639" s="30">
        <v>1075</v>
      </c>
      <c r="L639" s="30">
        <v>1074</v>
      </c>
      <c r="M639" s="30">
        <v>1068</v>
      </c>
      <c r="N639" s="30">
        <v>983</v>
      </c>
      <c r="O639" s="30">
        <v>1171</v>
      </c>
      <c r="P639" s="31">
        <f t="shared" si="163"/>
        <v>14999</v>
      </c>
      <c r="Q639"/>
    </row>
    <row r="640" spans="2:17" ht="12.75" hidden="1" customHeight="1" x14ac:dyDescent="0.25">
      <c r="B640" s="439"/>
      <c r="C640" s="35" t="s">
        <v>0</v>
      </c>
      <c r="D640" s="36">
        <f>SUM(D627:D639)</f>
        <v>35957</v>
      </c>
      <c r="E640" s="36">
        <f>SUM(E627:E639)</f>
        <v>29704</v>
      </c>
      <c r="F640" s="36">
        <f t="shared" ref="F640:O640" si="164">SUM(F627:F639)</f>
        <v>35467</v>
      </c>
      <c r="G640" s="36">
        <f t="shared" si="164"/>
        <v>30367</v>
      </c>
      <c r="H640" s="36">
        <f t="shared" si="164"/>
        <v>26340</v>
      </c>
      <c r="I640" s="36">
        <f t="shared" si="164"/>
        <v>25048</v>
      </c>
      <c r="J640" s="36">
        <f t="shared" si="164"/>
        <v>24598</v>
      </c>
      <c r="K640" s="36">
        <f t="shared" si="164"/>
        <v>29291</v>
      </c>
      <c r="L640" s="36">
        <f t="shared" si="164"/>
        <v>36763</v>
      </c>
      <c r="M640" s="36">
        <f t="shared" si="164"/>
        <v>39635</v>
      </c>
      <c r="N640" s="36">
        <f t="shared" si="164"/>
        <v>37815</v>
      </c>
      <c r="O640" s="36">
        <f t="shared" si="164"/>
        <v>37413</v>
      </c>
      <c r="P640" s="37">
        <f>SUM(P627:P639)</f>
        <v>388398</v>
      </c>
      <c r="Q640"/>
    </row>
    <row r="641" spans="2:18" ht="12.75" hidden="1" customHeight="1" x14ac:dyDescent="0.25">
      <c r="B641" s="441"/>
      <c r="C641" s="28" t="s">
        <v>60</v>
      </c>
      <c r="D641" s="29">
        <v>0</v>
      </c>
      <c r="E641" s="30">
        <v>0</v>
      </c>
      <c r="F641" s="30"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1">
        <f>SUM(D641:O641)</f>
        <v>0</v>
      </c>
      <c r="Q641" s="115"/>
      <c r="R641" s="115"/>
    </row>
    <row r="642" spans="2:18" ht="12.75" hidden="1" customHeight="1" x14ac:dyDescent="0.25">
      <c r="B642" s="441"/>
      <c r="C642" s="28" t="s">
        <v>7</v>
      </c>
      <c r="D642" s="29">
        <v>5229</v>
      </c>
      <c r="E642" s="30">
        <v>4273</v>
      </c>
      <c r="F642" s="30">
        <v>4906</v>
      </c>
      <c r="G642" s="30">
        <v>4779</v>
      </c>
      <c r="H642" s="30">
        <v>3719</v>
      </c>
      <c r="I642" s="30">
        <v>3967</v>
      </c>
      <c r="J642" s="30">
        <v>3713</v>
      </c>
      <c r="K642" s="30">
        <v>3021</v>
      </c>
      <c r="L642" s="30">
        <v>3159</v>
      </c>
      <c r="M642" s="30">
        <v>3543</v>
      </c>
      <c r="N642" s="30">
        <v>3331</v>
      </c>
      <c r="O642" s="30">
        <v>2814</v>
      </c>
      <c r="P642" s="31">
        <f>SUM(D642:O642)</f>
        <v>46454</v>
      </c>
      <c r="Q642"/>
    </row>
    <row r="643" spans="2:18" ht="12.75" hidden="1" customHeight="1" x14ac:dyDescent="0.25">
      <c r="B643" s="441"/>
      <c r="C643" s="28" t="s">
        <v>8</v>
      </c>
      <c r="D643" s="29">
        <v>4767</v>
      </c>
      <c r="E643" s="30">
        <v>2901</v>
      </c>
      <c r="F643" s="30">
        <v>2959</v>
      </c>
      <c r="G643" s="30">
        <v>3091</v>
      </c>
      <c r="H643" s="30">
        <v>2713</v>
      </c>
      <c r="I643" s="30">
        <v>2589</v>
      </c>
      <c r="J643" s="30">
        <v>3105</v>
      </c>
      <c r="K643" s="30">
        <v>2797</v>
      </c>
      <c r="L643" s="30">
        <v>2132</v>
      </c>
      <c r="M643" s="30">
        <v>2719</v>
      </c>
      <c r="N643" s="30">
        <v>4058</v>
      </c>
      <c r="O643" s="30">
        <v>3928</v>
      </c>
      <c r="P643" s="31">
        <f>SUM(D643:O643)</f>
        <v>37759</v>
      </c>
      <c r="Q643"/>
    </row>
    <row r="644" spans="2:18" ht="12.75" hidden="1" customHeight="1" x14ac:dyDescent="0.25">
      <c r="B644" s="441"/>
      <c r="C644" s="28" t="s">
        <v>55</v>
      </c>
      <c r="D644" s="29">
        <v>819</v>
      </c>
      <c r="E644" s="30">
        <v>715</v>
      </c>
      <c r="F644" s="30">
        <v>850</v>
      </c>
      <c r="G644" s="30">
        <v>848</v>
      </c>
      <c r="H644" s="30">
        <v>787</v>
      </c>
      <c r="I644" s="30">
        <v>813</v>
      </c>
      <c r="J644" s="30">
        <v>964</v>
      </c>
      <c r="K644" s="30">
        <v>762</v>
      </c>
      <c r="L644" s="30">
        <v>620</v>
      </c>
      <c r="M644" s="30">
        <v>766</v>
      </c>
      <c r="N644" s="30">
        <v>712</v>
      </c>
      <c r="O644" s="30">
        <v>994</v>
      </c>
      <c r="P644" s="31">
        <f>SUM(D644:O644)</f>
        <v>9650</v>
      </c>
      <c r="Q644"/>
      <c r="R644" s="356"/>
    </row>
    <row r="645" spans="2:18" ht="12.75" hidden="1" customHeight="1" thickBot="1" x14ac:dyDescent="0.3">
      <c r="B645" s="444"/>
      <c r="C645" s="35" t="s">
        <v>0</v>
      </c>
      <c r="D645" s="36">
        <f t="shared" ref="D645:P645" si="165">SUM(D641:D644)</f>
        <v>10815</v>
      </c>
      <c r="E645" s="36">
        <f t="shared" si="165"/>
        <v>7889</v>
      </c>
      <c r="F645" s="36">
        <f t="shared" si="165"/>
        <v>8715</v>
      </c>
      <c r="G645" s="36">
        <f t="shared" si="165"/>
        <v>8718</v>
      </c>
      <c r="H645" s="36">
        <f t="shared" si="165"/>
        <v>7219</v>
      </c>
      <c r="I645" s="36">
        <f t="shared" si="165"/>
        <v>7369</v>
      </c>
      <c r="J645" s="36">
        <f t="shared" si="165"/>
        <v>7782</v>
      </c>
      <c r="K645" s="36">
        <f t="shared" si="165"/>
        <v>6580</v>
      </c>
      <c r="L645" s="36">
        <f t="shared" si="165"/>
        <v>5911</v>
      </c>
      <c r="M645" s="36">
        <f t="shared" si="165"/>
        <v>7028</v>
      </c>
      <c r="N645" s="36">
        <f t="shared" si="165"/>
        <v>8101</v>
      </c>
      <c r="O645" s="36">
        <f t="shared" si="165"/>
        <v>7736</v>
      </c>
      <c r="P645" s="37">
        <f t="shared" si="165"/>
        <v>93863</v>
      </c>
      <c r="Q645" s="354"/>
    </row>
    <row r="646" spans="2:18" ht="12.75" hidden="1" customHeight="1" x14ac:dyDescent="0.25">
      <c r="B646" s="430" t="s">
        <v>9</v>
      </c>
      <c r="C646" s="38" t="s">
        <v>11</v>
      </c>
      <c r="D646" s="39">
        <v>3956</v>
      </c>
      <c r="E646" s="40">
        <v>3699</v>
      </c>
      <c r="F646" s="40">
        <v>4360</v>
      </c>
      <c r="G646" s="40">
        <v>4764</v>
      </c>
      <c r="H646" s="40">
        <v>4479</v>
      </c>
      <c r="I646" s="40">
        <v>3814</v>
      </c>
      <c r="J646" s="40">
        <v>4508</v>
      </c>
      <c r="K646" s="40">
        <v>4179</v>
      </c>
      <c r="L646" s="40">
        <v>3331</v>
      </c>
      <c r="M646" s="40">
        <v>4291</v>
      </c>
      <c r="N646" s="40">
        <v>4392</v>
      </c>
      <c r="O646" s="40">
        <v>4402</v>
      </c>
      <c r="P646" s="41">
        <f>SUM(D646:O646)</f>
        <v>50175</v>
      </c>
      <c r="Q646" s="354"/>
    </row>
    <row r="647" spans="2:18" ht="12.75" hidden="1" customHeight="1" x14ac:dyDescent="0.25">
      <c r="B647" s="431"/>
      <c r="C647" s="24" t="s">
        <v>12</v>
      </c>
      <c r="D647" s="25">
        <v>7044</v>
      </c>
      <c r="E647" s="26">
        <v>5256</v>
      </c>
      <c r="F647" s="26">
        <v>7461</v>
      </c>
      <c r="G647" s="26">
        <v>8156</v>
      </c>
      <c r="H647" s="26">
        <v>7965</v>
      </c>
      <c r="I647" s="26">
        <v>9070</v>
      </c>
      <c r="J647" s="26">
        <v>9164</v>
      </c>
      <c r="K647" s="26">
        <v>6457</v>
      </c>
      <c r="L647" s="26">
        <v>7998</v>
      </c>
      <c r="M647" s="26">
        <v>9058</v>
      </c>
      <c r="N647" s="26">
        <v>8198</v>
      </c>
      <c r="O647" s="26">
        <v>8232</v>
      </c>
      <c r="P647" s="27">
        <f>SUM(D647:O647)</f>
        <v>94059</v>
      </c>
      <c r="Q647" s="20"/>
    </row>
    <row r="648" spans="2:18" ht="12.75" hidden="1" customHeight="1" thickBot="1" x14ac:dyDescent="0.3">
      <c r="B648" s="432"/>
      <c r="C648" s="42" t="s">
        <v>0</v>
      </c>
      <c r="D648" s="43">
        <f t="shared" ref="D648:P648" si="166">SUM(D646:D647)</f>
        <v>11000</v>
      </c>
      <c r="E648" s="43">
        <f t="shared" si="166"/>
        <v>8955</v>
      </c>
      <c r="F648" s="43">
        <f t="shared" si="166"/>
        <v>11821</v>
      </c>
      <c r="G648" s="43">
        <f t="shared" si="166"/>
        <v>12920</v>
      </c>
      <c r="H648" s="43">
        <f t="shared" si="166"/>
        <v>12444</v>
      </c>
      <c r="I648" s="43">
        <f t="shared" si="166"/>
        <v>12884</v>
      </c>
      <c r="J648" s="43">
        <f t="shared" si="166"/>
        <v>13672</v>
      </c>
      <c r="K648" s="43">
        <f t="shared" si="166"/>
        <v>10636</v>
      </c>
      <c r="L648" s="43">
        <f t="shared" si="166"/>
        <v>11329</v>
      </c>
      <c r="M648" s="43">
        <f t="shared" si="166"/>
        <v>13349</v>
      </c>
      <c r="N648" s="43">
        <f t="shared" si="166"/>
        <v>12590</v>
      </c>
      <c r="O648" s="43">
        <f t="shared" si="166"/>
        <v>12634</v>
      </c>
      <c r="P648" s="44">
        <f t="shared" si="166"/>
        <v>144234</v>
      </c>
      <c r="Q648" s="20"/>
    </row>
    <row r="649" spans="2:18" ht="12.75" hidden="1" customHeight="1" x14ac:dyDescent="0.25">
      <c r="B649" s="430" t="s">
        <v>10</v>
      </c>
      <c r="C649" s="38" t="s">
        <v>13</v>
      </c>
      <c r="D649" s="39">
        <v>538</v>
      </c>
      <c r="E649" s="40">
        <v>776</v>
      </c>
      <c r="F649" s="40">
        <v>855</v>
      </c>
      <c r="G649" s="40">
        <v>882</v>
      </c>
      <c r="H649" s="40">
        <v>834</v>
      </c>
      <c r="I649" s="40">
        <v>815</v>
      </c>
      <c r="J649" s="40">
        <v>668</v>
      </c>
      <c r="K649" s="40">
        <v>615</v>
      </c>
      <c r="L649" s="40">
        <v>661</v>
      </c>
      <c r="M649" s="40">
        <v>673</v>
      </c>
      <c r="N649" s="40">
        <v>465</v>
      </c>
      <c r="O649" s="40">
        <v>543</v>
      </c>
      <c r="P649" s="41">
        <f>SUM(D649:O649)</f>
        <v>8325</v>
      </c>
      <c r="Q649" s="354"/>
    </row>
    <row r="650" spans="2:18" ht="12.75" hidden="1" customHeight="1" x14ac:dyDescent="0.25">
      <c r="B650" s="431"/>
      <c r="C650" s="24" t="s">
        <v>14</v>
      </c>
      <c r="D650" s="25">
        <v>1464</v>
      </c>
      <c r="E650" s="26">
        <v>1657</v>
      </c>
      <c r="F650" s="26">
        <v>2417</v>
      </c>
      <c r="G650" s="26">
        <v>2452</v>
      </c>
      <c r="H650" s="26">
        <v>2391</v>
      </c>
      <c r="I650" s="26">
        <v>2527</v>
      </c>
      <c r="J650" s="26">
        <v>2335</v>
      </c>
      <c r="K650" s="26">
        <v>2240</v>
      </c>
      <c r="L650" s="26">
        <v>2189</v>
      </c>
      <c r="M650" s="26">
        <v>1930</v>
      </c>
      <c r="N650" s="26">
        <v>1377</v>
      </c>
      <c r="O650" s="26">
        <v>1766</v>
      </c>
      <c r="P650" s="27">
        <f>SUM(D650:O650)</f>
        <v>24745</v>
      </c>
      <c r="Q650" s="20"/>
    </row>
    <row r="651" spans="2:18" ht="12.75" hidden="1" customHeight="1" thickBot="1" x14ac:dyDescent="0.3">
      <c r="B651" s="432"/>
      <c r="C651" s="42" t="s">
        <v>0</v>
      </c>
      <c r="D651" s="43">
        <f t="shared" ref="D651:P651" si="167">SUM(D649:D650)</f>
        <v>2002</v>
      </c>
      <c r="E651" s="43">
        <f t="shared" si="167"/>
        <v>2433</v>
      </c>
      <c r="F651" s="43">
        <f t="shared" si="167"/>
        <v>3272</v>
      </c>
      <c r="G651" s="43">
        <f t="shared" si="167"/>
        <v>3334</v>
      </c>
      <c r="H651" s="43">
        <f t="shared" si="167"/>
        <v>3225</v>
      </c>
      <c r="I651" s="43">
        <f t="shared" si="167"/>
        <v>3342</v>
      </c>
      <c r="J651" s="43">
        <f t="shared" si="167"/>
        <v>3003</v>
      </c>
      <c r="K651" s="43">
        <f t="shared" si="167"/>
        <v>2855</v>
      </c>
      <c r="L651" s="43">
        <f t="shared" si="167"/>
        <v>2850</v>
      </c>
      <c r="M651" s="43">
        <f t="shared" si="167"/>
        <v>2603</v>
      </c>
      <c r="N651" s="43">
        <f t="shared" si="167"/>
        <v>1842</v>
      </c>
      <c r="O651" s="43">
        <f t="shared" si="167"/>
        <v>2309</v>
      </c>
      <c r="P651" s="44">
        <f t="shared" si="167"/>
        <v>33070</v>
      </c>
      <c r="Q651" s="20"/>
    </row>
    <row r="652" spans="2:18" ht="12.75" hidden="1" customHeight="1" thickBot="1" x14ac:dyDescent="0.3">
      <c r="B652" s="435" t="s">
        <v>2</v>
      </c>
      <c r="C652" s="436"/>
      <c r="D652" s="45">
        <f>D640+D645+D651+D648</f>
        <v>59774</v>
      </c>
      <c r="E652" s="45">
        <f t="shared" ref="E652:P652" si="168">E640+E645+E651+E648</f>
        <v>48981</v>
      </c>
      <c r="F652" s="45">
        <f t="shared" si="168"/>
        <v>59275</v>
      </c>
      <c r="G652" s="45">
        <f t="shared" si="168"/>
        <v>55339</v>
      </c>
      <c r="H652" s="45">
        <f t="shared" si="168"/>
        <v>49228</v>
      </c>
      <c r="I652" s="45">
        <f t="shared" si="168"/>
        <v>48643</v>
      </c>
      <c r="J652" s="45">
        <f t="shared" si="168"/>
        <v>49055</v>
      </c>
      <c r="K652" s="45">
        <f t="shared" si="168"/>
        <v>49362</v>
      </c>
      <c r="L652" s="45">
        <f t="shared" si="168"/>
        <v>56853</v>
      </c>
      <c r="M652" s="45">
        <f t="shared" si="168"/>
        <v>62615</v>
      </c>
      <c r="N652" s="45">
        <f t="shared" si="168"/>
        <v>60348</v>
      </c>
      <c r="O652" s="45">
        <f t="shared" si="168"/>
        <v>60092</v>
      </c>
      <c r="P652" s="45">
        <f t="shared" si="168"/>
        <v>659565</v>
      </c>
      <c r="Q652" s="354"/>
    </row>
    <row r="653" spans="2:18" hidden="1" x14ac:dyDescent="0.25">
      <c r="Q653"/>
    </row>
    <row r="654" spans="2:18" ht="15" hidden="1" thickBot="1" x14ac:dyDescent="0.3">
      <c r="B654" s="18" t="s">
        <v>220</v>
      </c>
      <c r="C654" s="18"/>
      <c r="Q654"/>
    </row>
    <row r="655" spans="2:18" ht="12.75" hidden="1" customHeight="1" thickBot="1" x14ac:dyDescent="0.3">
      <c r="B655" s="437" t="s">
        <v>1</v>
      </c>
      <c r="C655" s="438"/>
      <c r="D655" s="21">
        <v>1</v>
      </c>
      <c r="E655" s="22">
        <v>2</v>
      </c>
      <c r="F655" s="22">
        <v>3</v>
      </c>
      <c r="G655" s="22">
        <v>4</v>
      </c>
      <c r="H655" s="22">
        <v>5</v>
      </c>
      <c r="I655" s="22">
        <v>6</v>
      </c>
      <c r="J655" s="22">
        <v>7</v>
      </c>
      <c r="K655" s="22">
        <v>8</v>
      </c>
      <c r="L655" s="22">
        <v>9</v>
      </c>
      <c r="M655" s="22">
        <v>10</v>
      </c>
      <c r="N655" s="22">
        <v>11</v>
      </c>
      <c r="O655" s="22">
        <v>12</v>
      </c>
      <c r="P655" s="23" t="s">
        <v>0</v>
      </c>
      <c r="Q655"/>
    </row>
    <row r="656" spans="2:18" ht="12.75" hidden="1" customHeight="1" x14ac:dyDescent="0.25">
      <c r="B656" s="430" t="s">
        <v>206</v>
      </c>
      <c r="C656" s="24" t="s">
        <v>207</v>
      </c>
      <c r="D656" s="25">
        <v>385</v>
      </c>
      <c r="E656" s="26">
        <v>509</v>
      </c>
      <c r="F656" s="25">
        <v>521</v>
      </c>
      <c r="G656" s="26">
        <v>601</v>
      </c>
      <c r="H656" s="26">
        <v>493</v>
      </c>
      <c r="I656" s="26">
        <v>747</v>
      </c>
      <c r="J656" s="26">
        <v>485</v>
      </c>
      <c r="K656" s="26">
        <v>481</v>
      </c>
      <c r="L656" s="26">
        <v>435</v>
      </c>
      <c r="M656" s="26">
        <v>300</v>
      </c>
      <c r="N656" s="26">
        <v>388</v>
      </c>
      <c r="O656" s="26">
        <v>443</v>
      </c>
      <c r="P656" s="27">
        <f t="shared" ref="P656:P666" si="169">SUM(D656:O656)</f>
        <v>5788</v>
      </c>
      <c r="Q656"/>
    </row>
    <row r="657" spans="2:18" ht="12.75" hidden="1" customHeight="1" x14ac:dyDescent="0.25">
      <c r="B657" s="431"/>
      <c r="C657" s="28" t="s">
        <v>208</v>
      </c>
      <c r="D657" s="29">
        <v>700</v>
      </c>
      <c r="E657" s="30">
        <v>607</v>
      </c>
      <c r="F657" s="29">
        <v>621</v>
      </c>
      <c r="G657" s="30">
        <v>515</v>
      </c>
      <c r="H657" s="30">
        <v>693</v>
      </c>
      <c r="I657" s="30">
        <v>1061</v>
      </c>
      <c r="J657" s="30">
        <v>1415</v>
      </c>
      <c r="K657" s="30">
        <v>798</v>
      </c>
      <c r="L657" s="30">
        <v>830</v>
      </c>
      <c r="M657" s="30">
        <v>749</v>
      </c>
      <c r="N657" s="30">
        <v>775</v>
      </c>
      <c r="O657" s="30">
        <v>1051</v>
      </c>
      <c r="P657" s="31">
        <f t="shared" si="169"/>
        <v>9815</v>
      </c>
      <c r="Q657"/>
    </row>
    <row r="658" spans="2:18" ht="12.75" hidden="1" customHeight="1" x14ac:dyDescent="0.25">
      <c r="B658" s="431"/>
      <c r="C658" s="28" t="s">
        <v>215</v>
      </c>
      <c r="D658" s="29">
        <v>6517</v>
      </c>
      <c r="E658" s="30">
        <v>8489</v>
      </c>
      <c r="F658" s="29">
        <v>7709</v>
      </c>
      <c r="G658" s="30">
        <v>7311</v>
      </c>
      <c r="H658" s="30">
        <v>9699</v>
      </c>
      <c r="I658" s="30">
        <v>12912</v>
      </c>
      <c r="J658" s="30">
        <v>9360</v>
      </c>
      <c r="K658" s="30">
        <v>8157</v>
      </c>
      <c r="L658" s="30">
        <v>9585</v>
      </c>
      <c r="M658" s="30">
        <v>8006</v>
      </c>
      <c r="N658" s="30">
        <v>10644</v>
      </c>
      <c r="O658" s="30">
        <v>11839</v>
      </c>
      <c r="P658" s="31">
        <f t="shared" si="169"/>
        <v>110228</v>
      </c>
      <c r="Q658"/>
    </row>
    <row r="659" spans="2:18" ht="12.75" hidden="1" customHeight="1" x14ac:dyDescent="0.25">
      <c r="B659" s="431"/>
      <c r="C659" s="28" t="s">
        <v>217</v>
      </c>
      <c r="D659" s="29">
        <v>0</v>
      </c>
      <c r="E659" s="30">
        <v>0</v>
      </c>
      <c r="F659" s="29">
        <v>0</v>
      </c>
      <c r="G659" s="30">
        <v>0</v>
      </c>
      <c r="H659" s="30">
        <v>0</v>
      </c>
      <c r="I659" s="30">
        <v>81</v>
      </c>
      <c r="J659" s="30">
        <v>1034</v>
      </c>
      <c r="K659" s="30">
        <v>1011</v>
      </c>
      <c r="L659" s="30">
        <v>1072</v>
      </c>
      <c r="M659" s="30">
        <v>627</v>
      </c>
      <c r="N659" s="30">
        <v>840</v>
      </c>
      <c r="O659" s="30">
        <v>485</v>
      </c>
      <c r="P659" s="31">
        <f t="shared" si="169"/>
        <v>5150</v>
      </c>
      <c r="Q659" s="357"/>
    </row>
    <row r="660" spans="2:18" ht="12.75" hidden="1" customHeight="1" x14ac:dyDescent="0.25">
      <c r="B660" s="431"/>
      <c r="C660" s="28" t="s">
        <v>3</v>
      </c>
      <c r="D660" s="29">
        <v>1790</v>
      </c>
      <c r="E660" s="30">
        <v>2469</v>
      </c>
      <c r="F660" s="29">
        <v>2440</v>
      </c>
      <c r="G660" s="30">
        <v>2080</v>
      </c>
      <c r="H660" s="30">
        <v>2732</v>
      </c>
      <c r="I660" s="30">
        <v>3513</v>
      </c>
      <c r="J660" s="30">
        <v>1939</v>
      </c>
      <c r="K660" s="30">
        <v>1600</v>
      </c>
      <c r="L660" s="30">
        <v>1737</v>
      </c>
      <c r="M660" s="30">
        <v>1527</v>
      </c>
      <c r="N660" s="30">
        <v>1932</v>
      </c>
      <c r="O660" s="30">
        <v>1862</v>
      </c>
      <c r="P660" s="31">
        <f t="shared" si="169"/>
        <v>25621</v>
      </c>
      <c r="Q660" s="357"/>
    </row>
    <row r="661" spans="2:18" ht="12.75" hidden="1" customHeight="1" x14ac:dyDescent="0.25">
      <c r="B661" s="431"/>
      <c r="C661" s="28" t="s">
        <v>218</v>
      </c>
      <c r="D661" s="29">
        <v>6613</v>
      </c>
      <c r="E661" s="30">
        <v>7693</v>
      </c>
      <c r="F661" s="29">
        <v>8612</v>
      </c>
      <c r="G661" s="30">
        <v>7806</v>
      </c>
      <c r="H661" s="30">
        <v>12152</v>
      </c>
      <c r="I661" s="30">
        <v>12549</v>
      </c>
      <c r="J661" s="30">
        <v>9072</v>
      </c>
      <c r="K661" s="30">
        <v>7035</v>
      </c>
      <c r="L661" s="30">
        <v>6782</v>
      </c>
      <c r="M661" s="30">
        <v>3795</v>
      </c>
      <c r="N661" s="30">
        <v>1738</v>
      </c>
      <c r="O661" s="30">
        <v>1224</v>
      </c>
      <c r="P661" s="31">
        <f t="shared" si="169"/>
        <v>85071</v>
      </c>
      <c r="Q661" s="284"/>
    </row>
    <row r="662" spans="2:18" ht="12.75" hidden="1" customHeight="1" x14ac:dyDescent="0.25">
      <c r="B662" s="431"/>
      <c r="C662" s="28" t="s">
        <v>219</v>
      </c>
      <c r="D662" s="29">
        <v>0</v>
      </c>
      <c r="E662" s="30">
        <v>0</v>
      </c>
      <c r="F662" s="29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9517</v>
      </c>
      <c r="M662" s="30">
        <v>17906</v>
      </c>
      <c r="N662" s="30">
        <v>17464</v>
      </c>
      <c r="O662" s="30">
        <v>16368</v>
      </c>
      <c r="P662" s="31">
        <f t="shared" si="169"/>
        <v>61255</v>
      </c>
      <c r="Q662"/>
    </row>
    <row r="663" spans="2:18" ht="12.75" hidden="1" customHeight="1" x14ac:dyDescent="0.25">
      <c r="B663" s="431"/>
      <c r="C663" s="28" t="s">
        <v>27</v>
      </c>
      <c r="D663" s="29">
        <v>3968</v>
      </c>
      <c r="E663" s="30">
        <v>5622</v>
      </c>
      <c r="F663" s="29">
        <v>5529</v>
      </c>
      <c r="G663" s="30">
        <v>4609</v>
      </c>
      <c r="H663" s="30">
        <v>10642</v>
      </c>
      <c r="I663" s="30">
        <v>11165</v>
      </c>
      <c r="J663" s="30">
        <v>7202</v>
      </c>
      <c r="K663" s="30">
        <v>4887</v>
      </c>
      <c r="L663" s="30">
        <v>6146</v>
      </c>
      <c r="M663" s="30">
        <v>4962</v>
      </c>
      <c r="N663" s="30">
        <v>4930</v>
      </c>
      <c r="O663" s="30">
        <v>6182</v>
      </c>
      <c r="P663" s="31">
        <f t="shared" si="169"/>
        <v>75844</v>
      </c>
      <c r="Q663"/>
    </row>
    <row r="664" spans="2:18" ht="12.75" hidden="1" customHeight="1" x14ac:dyDescent="0.25">
      <c r="B664" s="431"/>
      <c r="C664" s="28" t="s">
        <v>4</v>
      </c>
      <c r="D664" s="29">
        <v>1538</v>
      </c>
      <c r="E664" s="30">
        <v>1928</v>
      </c>
      <c r="F664" s="29">
        <v>2011</v>
      </c>
      <c r="G664" s="30">
        <v>2366</v>
      </c>
      <c r="H664" s="30">
        <v>3422</v>
      </c>
      <c r="I664" s="30">
        <v>4626</v>
      </c>
      <c r="J664" s="30">
        <v>2776</v>
      </c>
      <c r="K664" s="30">
        <v>1551</v>
      </c>
      <c r="L664" s="30">
        <v>2870</v>
      </c>
      <c r="M664" s="30">
        <v>2561</v>
      </c>
      <c r="N664" s="30">
        <v>2582</v>
      </c>
      <c r="O664" s="30">
        <v>2981</v>
      </c>
      <c r="P664" s="31">
        <f t="shared" si="169"/>
        <v>31212</v>
      </c>
      <c r="Q664"/>
    </row>
    <row r="665" spans="2:18" ht="12.75" hidden="1" customHeight="1" x14ac:dyDescent="0.25">
      <c r="B665" s="431"/>
      <c r="C665" s="28" t="s">
        <v>5</v>
      </c>
      <c r="D665" s="29">
        <v>483</v>
      </c>
      <c r="E665" s="30">
        <v>654</v>
      </c>
      <c r="F665" s="29">
        <v>522</v>
      </c>
      <c r="G665" s="30">
        <v>523</v>
      </c>
      <c r="H665" s="30">
        <v>590</v>
      </c>
      <c r="I665" s="30">
        <v>1060</v>
      </c>
      <c r="J665" s="30">
        <v>814</v>
      </c>
      <c r="K665" s="30">
        <v>522</v>
      </c>
      <c r="L665" s="30">
        <v>527</v>
      </c>
      <c r="M665" s="30">
        <v>443</v>
      </c>
      <c r="N665" s="30">
        <v>436</v>
      </c>
      <c r="O665" s="30">
        <v>437</v>
      </c>
      <c r="P665" s="31">
        <f t="shared" si="169"/>
        <v>7011</v>
      </c>
      <c r="Q665"/>
    </row>
    <row r="666" spans="2:18" ht="12.75" hidden="1" customHeight="1" x14ac:dyDescent="0.25">
      <c r="B666" s="431"/>
      <c r="C666" s="28" t="s">
        <v>6</v>
      </c>
      <c r="D666" s="29">
        <v>532</v>
      </c>
      <c r="E666" s="30">
        <v>4</v>
      </c>
      <c r="F666" s="29">
        <v>911</v>
      </c>
      <c r="G666" s="30">
        <v>2030</v>
      </c>
      <c r="H666" s="30">
        <v>1826</v>
      </c>
      <c r="I666" s="30">
        <v>2252</v>
      </c>
      <c r="J666" s="30">
        <v>1581</v>
      </c>
      <c r="K666" s="30">
        <v>1387</v>
      </c>
      <c r="L666" s="30">
        <v>1622</v>
      </c>
      <c r="M666" s="30">
        <v>1470</v>
      </c>
      <c r="N666" s="30">
        <v>1149</v>
      </c>
      <c r="O666" s="30">
        <v>1510</v>
      </c>
      <c r="P666" s="31">
        <f t="shared" si="169"/>
        <v>16274</v>
      </c>
      <c r="Q666"/>
    </row>
    <row r="667" spans="2:18" ht="12.75" hidden="1" customHeight="1" x14ac:dyDescent="0.25">
      <c r="B667" s="439"/>
      <c r="C667" s="35" t="s">
        <v>0</v>
      </c>
      <c r="D667" s="36">
        <f t="shared" ref="D667:P667" si="170">SUM(D656:D666)</f>
        <v>22526</v>
      </c>
      <c r="E667" s="36">
        <f t="shared" si="170"/>
        <v>27975</v>
      </c>
      <c r="F667" s="36">
        <f t="shared" si="170"/>
        <v>28876</v>
      </c>
      <c r="G667" s="36">
        <f t="shared" si="170"/>
        <v>27841</v>
      </c>
      <c r="H667" s="36">
        <f t="shared" si="170"/>
        <v>42249</v>
      </c>
      <c r="I667" s="36">
        <f t="shared" si="170"/>
        <v>49966</v>
      </c>
      <c r="J667" s="36">
        <f t="shared" si="170"/>
        <v>35678</v>
      </c>
      <c r="K667" s="36">
        <f t="shared" si="170"/>
        <v>27429</v>
      </c>
      <c r="L667" s="36">
        <f t="shared" si="170"/>
        <v>41123</v>
      </c>
      <c r="M667" s="36">
        <f t="shared" si="170"/>
        <v>42346</v>
      </c>
      <c r="N667" s="36">
        <f t="shared" si="170"/>
        <v>42878</v>
      </c>
      <c r="O667" s="36">
        <f t="shared" si="170"/>
        <v>44382</v>
      </c>
      <c r="P667" s="37">
        <f t="shared" si="170"/>
        <v>433269</v>
      </c>
      <c r="Q667"/>
    </row>
    <row r="668" spans="2:18" ht="12.75" hidden="1" customHeight="1" x14ac:dyDescent="0.25">
      <c r="B668" s="440"/>
      <c r="C668" s="28" t="s">
        <v>60</v>
      </c>
      <c r="D668" s="29">
        <v>1682</v>
      </c>
      <c r="E668" s="30">
        <v>1773</v>
      </c>
      <c r="F668" s="30">
        <v>2279</v>
      </c>
      <c r="G668" s="30">
        <v>1443</v>
      </c>
      <c r="H668" s="30">
        <v>2478</v>
      </c>
      <c r="I668" s="30">
        <v>3229</v>
      </c>
      <c r="J668" s="30">
        <v>2096</v>
      </c>
      <c r="K668" s="30">
        <v>1901</v>
      </c>
      <c r="L668" s="30">
        <v>1101</v>
      </c>
      <c r="M668" s="30">
        <v>353</v>
      </c>
      <c r="N668" s="30">
        <v>3</v>
      </c>
      <c r="O668" s="30">
        <v>2</v>
      </c>
      <c r="P668" s="31">
        <f>SUM(D668:O668)</f>
        <v>18340</v>
      </c>
      <c r="Q668" s="115"/>
      <c r="R668" s="115"/>
    </row>
    <row r="669" spans="2:18" ht="12.75" hidden="1" customHeight="1" x14ac:dyDescent="0.25">
      <c r="B669" s="441"/>
      <c r="C669" s="28" t="s">
        <v>7</v>
      </c>
      <c r="D669" s="29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5002</v>
      </c>
      <c r="M669" s="30">
        <v>6270</v>
      </c>
      <c r="N669" s="30">
        <v>7032</v>
      </c>
      <c r="O669" s="30">
        <v>7804</v>
      </c>
      <c r="P669" s="31">
        <f>SUM(D669:O669)</f>
        <v>26108</v>
      </c>
      <c r="Q669"/>
    </row>
    <row r="670" spans="2:18" ht="12.75" hidden="1" customHeight="1" x14ac:dyDescent="0.25">
      <c r="B670" s="441"/>
      <c r="C670" s="28" t="s">
        <v>8</v>
      </c>
      <c r="D670" s="29">
        <v>2711</v>
      </c>
      <c r="E670" s="30">
        <v>3430</v>
      </c>
      <c r="F670" s="30">
        <v>3728</v>
      </c>
      <c r="G670" s="30">
        <v>3025</v>
      </c>
      <c r="H670" s="30">
        <v>6126</v>
      </c>
      <c r="I670" s="30">
        <v>4879</v>
      </c>
      <c r="J670" s="30">
        <v>6512</v>
      </c>
      <c r="K670" s="30">
        <v>4636</v>
      </c>
      <c r="L670" s="30">
        <v>5526</v>
      </c>
      <c r="M670" s="30">
        <v>4172</v>
      </c>
      <c r="N670" s="30">
        <v>5563</v>
      </c>
      <c r="O670" s="30">
        <v>8016</v>
      </c>
      <c r="P670" s="31">
        <f>SUM(D670:O670)</f>
        <v>58324</v>
      </c>
      <c r="Q670"/>
    </row>
    <row r="671" spans="2:18" ht="12.75" hidden="1" customHeight="1" x14ac:dyDescent="0.25">
      <c r="B671" s="441"/>
      <c r="C671" s="28" t="s">
        <v>55</v>
      </c>
      <c r="D671" s="29">
        <v>633</v>
      </c>
      <c r="E671" s="30">
        <v>775</v>
      </c>
      <c r="F671" s="30">
        <v>733</v>
      </c>
      <c r="G671" s="30">
        <v>834</v>
      </c>
      <c r="H671" s="30">
        <v>1313</v>
      </c>
      <c r="I671" s="30">
        <v>1909</v>
      </c>
      <c r="J671" s="30">
        <v>986</v>
      </c>
      <c r="K671" s="30">
        <v>942</v>
      </c>
      <c r="L671" s="30">
        <v>1084</v>
      </c>
      <c r="M671" s="30">
        <v>750</v>
      </c>
      <c r="N671" s="30">
        <v>765</v>
      </c>
      <c r="O671" s="30">
        <v>1202</v>
      </c>
      <c r="P671" s="31">
        <f>SUM(D671:O671)</f>
        <v>11926</v>
      </c>
      <c r="Q671"/>
      <c r="R671" s="356"/>
    </row>
    <row r="672" spans="2:18" ht="12.75" hidden="1" customHeight="1" thickBot="1" x14ac:dyDescent="0.3">
      <c r="B672" s="442"/>
      <c r="C672" s="35" t="s">
        <v>0</v>
      </c>
      <c r="D672" s="36">
        <f t="shared" ref="D672:P672" si="171">SUM(D668:D671)</f>
        <v>5026</v>
      </c>
      <c r="E672" s="36">
        <f t="shared" si="171"/>
        <v>5978</v>
      </c>
      <c r="F672" s="36">
        <f t="shared" si="171"/>
        <v>6740</v>
      </c>
      <c r="G672" s="36">
        <f t="shared" si="171"/>
        <v>5302</v>
      </c>
      <c r="H672" s="36">
        <f t="shared" si="171"/>
        <v>9917</v>
      </c>
      <c r="I672" s="36">
        <f t="shared" si="171"/>
        <v>10017</v>
      </c>
      <c r="J672" s="36">
        <f t="shared" si="171"/>
        <v>9594</v>
      </c>
      <c r="K672" s="36">
        <f t="shared" si="171"/>
        <v>7479</v>
      </c>
      <c r="L672" s="36">
        <f t="shared" si="171"/>
        <v>12713</v>
      </c>
      <c r="M672" s="36">
        <f t="shared" si="171"/>
        <v>11545</v>
      </c>
      <c r="N672" s="36">
        <f t="shared" si="171"/>
        <v>13363</v>
      </c>
      <c r="O672" s="36">
        <f t="shared" si="171"/>
        <v>17024</v>
      </c>
      <c r="P672" s="37">
        <f t="shared" si="171"/>
        <v>114698</v>
      </c>
      <c r="Q672" s="354"/>
    </row>
    <row r="673" spans="2:17" ht="12.75" hidden="1" customHeight="1" x14ac:dyDescent="0.25">
      <c r="B673" s="430" t="s">
        <v>9</v>
      </c>
      <c r="C673" s="38" t="s">
        <v>11</v>
      </c>
      <c r="D673" s="39">
        <v>2408</v>
      </c>
      <c r="E673" s="40">
        <v>3482</v>
      </c>
      <c r="F673" s="40">
        <v>3649</v>
      </c>
      <c r="G673" s="40">
        <v>4198</v>
      </c>
      <c r="H673" s="40">
        <v>3279</v>
      </c>
      <c r="I673" s="40">
        <v>4305</v>
      </c>
      <c r="J673" s="40">
        <v>5115</v>
      </c>
      <c r="K673" s="40">
        <v>3673</v>
      </c>
      <c r="L673" s="40">
        <v>4281</v>
      </c>
      <c r="M673" s="40">
        <v>3241</v>
      </c>
      <c r="N673" s="40">
        <v>4131</v>
      </c>
      <c r="O673" s="40">
        <v>5497</v>
      </c>
      <c r="P673" s="41">
        <f>SUM(D673:O673)</f>
        <v>47259</v>
      </c>
      <c r="Q673" s="354"/>
    </row>
    <row r="674" spans="2:17" ht="12.75" hidden="1" customHeight="1" x14ac:dyDescent="0.25">
      <c r="B674" s="431"/>
      <c r="C674" s="24" t="s">
        <v>12</v>
      </c>
      <c r="D674" s="25">
        <v>4083</v>
      </c>
      <c r="E674" s="26">
        <v>5431</v>
      </c>
      <c r="F674" s="26">
        <v>7588</v>
      </c>
      <c r="G674" s="26">
        <v>7614</v>
      </c>
      <c r="H674" s="26">
        <v>5728</v>
      </c>
      <c r="I674" s="26">
        <v>7574</v>
      </c>
      <c r="J674" s="26">
        <v>7663</v>
      </c>
      <c r="K674" s="26">
        <v>5774</v>
      </c>
      <c r="L674" s="26">
        <v>7785</v>
      </c>
      <c r="M674" s="26">
        <v>6622</v>
      </c>
      <c r="N674" s="26">
        <v>6382</v>
      </c>
      <c r="O674" s="26">
        <v>6602</v>
      </c>
      <c r="P674" s="27">
        <f>SUM(D674:O674)</f>
        <v>78846</v>
      </c>
      <c r="Q674" s="20"/>
    </row>
    <row r="675" spans="2:17" ht="12.75" hidden="1" customHeight="1" thickBot="1" x14ac:dyDescent="0.3">
      <c r="B675" s="432"/>
      <c r="C675" s="42" t="s">
        <v>0</v>
      </c>
      <c r="D675" s="43">
        <f t="shared" ref="D675:P675" si="172">SUM(D673:D674)</f>
        <v>6491</v>
      </c>
      <c r="E675" s="43">
        <f t="shared" si="172"/>
        <v>8913</v>
      </c>
      <c r="F675" s="43">
        <f t="shared" si="172"/>
        <v>11237</v>
      </c>
      <c r="G675" s="43">
        <f t="shared" si="172"/>
        <v>11812</v>
      </c>
      <c r="H675" s="43">
        <f t="shared" si="172"/>
        <v>9007</v>
      </c>
      <c r="I675" s="43">
        <f t="shared" si="172"/>
        <v>11879</v>
      </c>
      <c r="J675" s="43">
        <f t="shared" si="172"/>
        <v>12778</v>
      </c>
      <c r="K675" s="43">
        <f t="shared" si="172"/>
        <v>9447</v>
      </c>
      <c r="L675" s="43">
        <f t="shared" si="172"/>
        <v>12066</v>
      </c>
      <c r="M675" s="43">
        <f t="shared" si="172"/>
        <v>9863</v>
      </c>
      <c r="N675" s="43">
        <f t="shared" si="172"/>
        <v>10513</v>
      </c>
      <c r="O675" s="43">
        <f t="shared" si="172"/>
        <v>12099</v>
      </c>
      <c r="P675" s="44">
        <f t="shared" si="172"/>
        <v>126105</v>
      </c>
      <c r="Q675" s="20"/>
    </row>
    <row r="676" spans="2:17" ht="12.75" hidden="1" customHeight="1" x14ac:dyDescent="0.25">
      <c r="B676" s="430" t="s">
        <v>10</v>
      </c>
      <c r="C676" s="38" t="s">
        <v>13</v>
      </c>
      <c r="D676" s="39">
        <v>488</v>
      </c>
      <c r="E676" s="40">
        <v>674</v>
      </c>
      <c r="F676" s="40">
        <v>800</v>
      </c>
      <c r="G676" s="40">
        <v>799</v>
      </c>
      <c r="H676" s="40">
        <v>813</v>
      </c>
      <c r="I676" s="40">
        <v>801</v>
      </c>
      <c r="J676" s="40">
        <v>585</v>
      </c>
      <c r="K676" s="40">
        <v>618</v>
      </c>
      <c r="L676" s="40">
        <v>731</v>
      </c>
      <c r="M676" s="40">
        <v>716</v>
      </c>
      <c r="N676" s="40">
        <v>656</v>
      </c>
      <c r="O676" s="40">
        <v>525</v>
      </c>
      <c r="P676" s="41">
        <f>SUM(D676:O676)</f>
        <v>8206</v>
      </c>
      <c r="Q676" s="354"/>
    </row>
    <row r="677" spans="2:17" ht="12.75" hidden="1" customHeight="1" x14ac:dyDescent="0.25">
      <c r="B677" s="431"/>
      <c r="C677" s="24" t="s">
        <v>14</v>
      </c>
      <c r="D677" s="25">
        <v>865</v>
      </c>
      <c r="E677" s="26">
        <v>1308</v>
      </c>
      <c r="F677" s="26">
        <v>1461</v>
      </c>
      <c r="G677" s="26">
        <v>1585</v>
      </c>
      <c r="H677" s="26">
        <v>1732</v>
      </c>
      <c r="I677" s="26">
        <v>2022</v>
      </c>
      <c r="J677" s="26">
        <v>2003</v>
      </c>
      <c r="K677" s="26">
        <v>1868</v>
      </c>
      <c r="L677" s="26">
        <v>1937</v>
      </c>
      <c r="M677" s="26">
        <v>1988</v>
      </c>
      <c r="N677" s="26">
        <v>1946</v>
      </c>
      <c r="O677" s="26">
        <v>1679</v>
      </c>
      <c r="P677" s="27">
        <f>SUM(D677:O677)</f>
        <v>20394</v>
      </c>
      <c r="Q677" s="20"/>
    </row>
    <row r="678" spans="2:17" ht="12.75" hidden="1" customHeight="1" thickBot="1" x14ac:dyDescent="0.3">
      <c r="B678" s="432"/>
      <c r="C678" s="42" t="s">
        <v>0</v>
      </c>
      <c r="D678" s="43">
        <f t="shared" ref="D678:P678" si="173">SUM(D676:D677)</f>
        <v>1353</v>
      </c>
      <c r="E678" s="43">
        <f t="shared" si="173"/>
        <v>1982</v>
      </c>
      <c r="F678" s="43">
        <f t="shared" si="173"/>
        <v>2261</v>
      </c>
      <c r="G678" s="43">
        <f t="shared" si="173"/>
        <v>2384</v>
      </c>
      <c r="H678" s="43">
        <f t="shared" si="173"/>
        <v>2545</v>
      </c>
      <c r="I678" s="43">
        <f t="shared" si="173"/>
        <v>2823</v>
      </c>
      <c r="J678" s="43">
        <f t="shared" si="173"/>
        <v>2588</v>
      </c>
      <c r="K678" s="43">
        <f t="shared" si="173"/>
        <v>2486</v>
      </c>
      <c r="L678" s="43">
        <f t="shared" si="173"/>
        <v>2668</v>
      </c>
      <c r="M678" s="43">
        <f t="shared" si="173"/>
        <v>2704</v>
      </c>
      <c r="N678" s="43">
        <f t="shared" si="173"/>
        <v>2602</v>
      </c>
      <c r="O678" s="43">
        <f t="shared" si="173"/>
        <v>2204</v>
      </c>
      <c r="P678" s="44">
        <f t="shared" si="173"/>
        <v>28600</v>
      </c>
      <c r="Q678" s="20"/>
    </row>
    <row r="679" spans="2:17" ht="12.75" hidden="1" customHeight="1" thickBot="1" x14ac:dyDescent="0.3">
      <c r="B679" s="433" t="s">
        <v>2</v>
      </c>
      <c r="C679" s="434"/>
      <c r="D679" s="45">
        <f>D667+D672+D678+D675</f>
        <v>35396</v>
      </c>
      <c r="E679" s="45">
        <f t="shared" ref="E679:P679" si="174">E667+E672+E678+E675</f>
        <v>44848</v>
      </c>
      <c r="F679" s="45">
        <f t="shared" si="174"/>
        <v>49114</v>
      </c>
      <c r="G679" s="45">
        <f t="shared" si="174"/>
        <v>47339</v>
      </c>
      <c r="H679" s="45">
        <f t="shared" si="174"/>
        <v>63718</v>
      </c>
      <c r="I679" s="45">
        <f t="shared" si="174"/>
        <v>74685</v>
      </c>
      <c r="J679" s="45">
        <f t="shared" si="174"/>
        <v>60638</v>
      </c>
      <c r="K679" s="45">
        <f t="shared" si="174"/>
        <v>46841</v>
      </c>
      <c r="L679" s="45">
        <f t="shared" si="174"/>
        <v>68570</v>
      </c>
      <c r="M679" s="45">
        <f t="shared" si="174"/>
        <v>66458</v>
      </c>
      <c r="N679" s="45">
        <f t="shared" si="174"/>
        <v>69356</v>
      </c>
      <c r="O679" s="45">
        <f t="shared" si="174"/>
        <v>75709</v>
      </c>
      <c r="P679" s="45">
        <f t="shared" si="174"/>
        <v>702672</v>
      </c>
      <c r="Q679" s="354"/>
    </row>
    <row r="680" spans="2:17" hidden="1" x14ac:dyDescent="0.25"/>
    <row r="681" spans="2:17" hidden="1" x14ac:dyDescent="0.25"/>
  </sheetData>
  <mergeCells count="92">
    <mergeCell ref="B29:B35"/>
    <mergeCell ref="B4:C4"/>
    <mergeCell ref="B5:B12"/>
    <mergeCell ref="B13:B21"/>
    <mergeCell ref="B22:B25"/>
    <mergeCell ref="B26:B28"/>
    <mergeCell ref="B276:C276"/>
    <mergeCell ref="B277:B286"/>
    <mergeCell ref="B287:B293"/>
    <mergeCell ref="B294:B296"/>
    <mergeCell ref="B36:C36"/>
    <mergeCell ref="B103:B109"/>
    <mergeCell ref="B110:C110"/>
    <mergeCell ref="B246:C246"/>
    <mergeCell ref="B219:C219"/>
    <mergeCell ref="B220:B228"/>
    <mergeCell ref="B229:B235"/>
    <mergeCell ref="B236:B238"/>
    <mergeCell ref="B239:B241"/>
    <mergeCell ref="B242:B245"/>
    <mergeCell ref="B179:C179"/>
    <mergeCell ref="B150:C150"/>
    <mergeCell ref="B297:B299"/>
    <mergeCell ref="B300:B303"/>
    <mergeCell ref="B358:C358"/>
    <mergeCell ref="B332:C332"/>
    <mergeCell ref="B333:B342"/>
    <mergeCell ref="B343:B347"/>
    <mergeCell ref="B348:B350"/>
    <mergeCell ref="B351:B353"/>
    <mergeCell ref="B354:B357"/>
    <mergeCell ref="B304:C304"/>
    <mergeCell ref="B402:C402"/>
    <mergeCell ref="B399:B401"/>
    <mergeCell ref="B446:C446"/>
    <mergeCell ref="B419:C419"/>
    <mergeCell ref="B420:B431"/>
    <mergeCell ref="B432:B436"/>
    <mergeCell ref="B440:B442"/>
    <mergeCell ref="B437:B439"/>
    <mergeCell ref="B443:B445"/>
    <mergeCell ref="B376:C376"/>
    <mergeCell ref="B377:B388"/>
    <mergeCell ref="B389:B392"/>
    <mergeCell ref="B393:B395"/>
    <mergeCell ref="B396:B398"/>
    <mergeCell ref="B151:B159"/>
    <mergeCell ref="B160:B166"/>
    <mergeCell ref="B167:B169"/>
    <mergeCell ref="B170:B172"/>
    <mergeCell ref="B173:B178"/>
    <mergeCell ref="B79:C79"/>
    <mergeCell ref="B80:B86"/>
    <mergeCell ref="B87:B95"/>
    <mergeCell ref="B96:B99"/>
    <mergeCell ref="B100:B102"/>
    <mergeCell ref="B466:C466"/>
    <mergeCell ref="B467:B478"/>
    <mergeCell ref="B479:B483"/>
    <mergeCell ref="B484:B486"/>
    <mergeCell ref="B487:B489"/>
    <mergeCell ref="B528:B530"/>
    <mergeCell ref="B531:C531"/>
    <mergeCell ref="B543:C543"/>
    <mergeCell ref="B490:C490"/>
    <mergeCell ref="B508:C508"/>
    <mergeCell ref="B509:B519"/>
    <mergeCell ref="B520:B524"/>
    <mergeCell ref="B525:B527"/>
    <mergeCell ref="B587:C587"/>
    <mergeCell ref="B588:B600"/>
    <mergeCell ref="B601:B604"/>
    <mergeCell ref="B605:B607"/>
    <mergeCell ref="B608:B610"/>
    <mergeCell ref="B544:B556"/>
    <mergeCell ref="B557:B560"/>
    <mergeCell ref="B561:B563"/>
    <mergeCell ref="B564:B566"/>
    <mergeCell ref="B567:C567"/>
    <mergeCell ref="B611:C611"/>
    <mergeCell ref="B626:C626"/>
    <mergeCell ref="B627:B640"/>
    <mergeCell ref="B641:B645"/>
    <mergeCell ref="B646:B648"/>
    <mergeCell ref="B673:B675"/>
    <mergeCell ref="B676:B678"/>
    <mergeCell ref="B679:C679"/>
    <mergeCell ref="B649:B651"/>
    <mergeCell ref="B652:C652"/>
    <mergeCell ref="B655:C655"/>
    <mergeCell ref="B656:B667"/>
    <mergeCell ref="B668:B672"/>
  </mergeCells>
  <phoneticPr fontId="2" type="noConversion"/>
  <printOptions horizontalCentered="1"/>
  <pageMargins left="0.25" right="0.25" top="0.75" bottom="0.75" header="0.3" footer="0.3"/>
  <pageSetup paperSize="9" scale="88" orientation="portrait" r:id="rId1"/>
  <headerFooter alignWithMargins="0"/>
  <ignoredErrors>
    <ignoredError sqref="N159:O159 J159:M159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3"/>
  <sheetViews>
    <sheetView showGridLines="0" zoomScale="89" zoomScaleNormal="89" workbookViewId="0">
      <selection activeCell="H18" sqref="H18"/>
    </sheetView>
  </sheetViews>
  <sheetFormatPr defaultRowHeight="14.4" x14ac:dyDescent="0.25"/>
  <cols>
    <col min="1" max="1" width="7.19921875" customWidth="1"/>
    <col min="2" max="2" width="7.19921875" style="1" customWidth="1"/>
    <col min="3" max="5" width="19.09765625" customWidth="1"/>
    <col min="6" max="6" width="2.3984375" style="6" customWidth="1"/>
    <col min="7" max="9" width="10.19921875" bestFit="1" customWidth="1"/>
  </cols>
  <sheetData>
    <row r="1" spans="1:6" ht="15" thickBot="1" x14ac:dyDescent="0.3"/>
    <row r="2" spans="1:6" ht="15" customHeight="1" x14ac:dyDescent="0.25">
      <c r="A2" s="454"/>
      <c r="B2" s="455"/>
      <c r="C2" s="460" t="s">
        <v>16</v>
      </c>
      <c r="D2" s="458" t="s">
        <v>15</v>
      </c>
      <c r="E2" s="452" t="s">
        <v>0</v>
      </c>
      <c r="F2" s="15"/>
    </row>
    <row r="3" spans="1:6" ht="15" customHeight="1" thickBot="1" x14ac:dyDescent="0.3">
      <c r="A3" s="456"/>
      <c r="B3" s="457"/>
      <c r="C3" s="461"/>
      <c r="D3" s="459"/>
      <c r="E3" s="453"/>
      <c r="F3" s="15"/>
    </row>
    <row r="4" spans="1:6" ht="15" customHeight="1" x14ac:dyDescent="0.25">
      <c r="A4" s="462" t="s">
        <v>193</v>
      </c>
      <c r="B4" s="12">
        <v>1</v>
      </c>
      <c r="C4" s="163">
        <v>46205</v>
      </c>
      <c r="D4" s="164">
        <f>69927+166524</f>
        <v>236451</v>
      </c>
      <c r="E4" s="165">
        <f t="shared" ref="E4:E9" si="0">SUM(C4:D4)</f>
        <v>282656</v>
      </c>
      <c r="F4" s="15"/>
    </row>
    <row r="5" spans="1:6" ht="15" customHeight="1" x14ac:dyDescent="0.25">
      <c r="A5" s="463"/>
      <c r="B5" s="13" t="s">
        <v>166</v>
      </c>
      <c r="C5" s="166">
        <v>53010</v>
      </c>
      <c r="D5" s="167">
        <f>76292+176029</f>
        <v>252321</v>
      </c>
      <c r="E5" s="168">
        <f t="shared" si="0"/>
        <v>305331</v>
      </c>
      <c r="F5" s="15"/>
    </row>
    <row r="6" spans="1:6" ht="15" customHeight="1" x14ac:dyDescent="0.25">
      <c r="A6" s="463"/>
      <c r="B6" s="13" t="s">
        <v>169</v>
      </c>
      <c r="C6" s="166">
        <v>52883</v>
      </c>
      <c r="D6" s="167">
        <f>77812+184009</f>
        <v>261821</v>
      </c>
      <c r="E6" s="168">
        <f t="shared" si="0"/>
        <v>314704</v>
      </c>
    </row>
    <row r="7" spans="1:6" ht="15" customHeight="1" x14ac:dyDescent="0.25">
      <c r="A7" s="463"/>
      <c r="B7" s="13" t="s">
        <v>170</v>
      </c>
      <c r="C7" s="166">
        <v>59415</v>
      </c>
      <c r="D7" s="167">
        <f>78895+171566</f>
        <v>250461</v>
      </c>
      <c r="E7" s="168">
        <f t="shared" si="0"/>
        <v>309876</v>
      </c>
    </row>
    <row r="8" spans="1:6" ht="15" customHeight="1" x14ac:dyDescent="0.25">
      <c r="A8" s="463"/>
      <c r="B8" s="13" t="s">
        <v>175</v>
      </c>
      <c r="C8" s="166">
        <v>63373</v>
      </c>
      <c r="D8" s="167">
        <f>86114+174346</f>
        <v>260460</v>
      </c>
      <c r="E8" s="168">
        <f t="shared" si="0"/>
        <v>323833</v>
      </c>
    </row>
    <row r="9" spans="1:6" ht="15" customHeight="1" x14ac:dyDescent="0.25">
      <c r="A9" s="463"/>
      <c r="B9" s="13" t="s">
        <v>176</v>
      </c>
      <c r="C9" s="166">
        <v>59510</v>
      </c>
      <c r="D9" s="167">
        <f>87262+195869</f>
        <v>283131</v>
      </c>
      <c r="E9" s="168">
        <f t="shared" si="0"/>
        <v>342641</v>
      </c>
    </row>
    <row r="10" spans="1:6" ht="15" customHeight="1" x14ac:dyDescent="0.25">
      <c r="A10" s="463"/>
      <c r="B10" s="13" t="s">
        <v>178</v>
      </c>
      <c r="C10" s="166">
        <v>56305</v>
      </c>
      <c r="D10" s="167">
        <f>82275+192266</f>
        <v>274541</v>
      </c>
      <c r="E10" s="168">
        <f>SUM(C10:D10)</f>
        <v>330846</v>
      </c>
    </row>
    <row r="11" spans="1:6" ht="15" customHeight="1" x14ac:dyDescent="0.25">
      <c r="A11" s="463"/>
      <c r="B11" s="13" t="s">
        <v>182</v>
      </c>
      <c r="C11" s="166">
        <v>49224</v>
      </c>
      <c r="D11" s="167">
        <f>87431+199954</f>
        <v>287385</v>
      </c>
      <c r="E11" s="168">
        <f>SUM(C11:D11)</f>
        <v>336609</v>
      </c>
    </row>
    <row r="12" spans="1:6" ht="15" customHeight="1" x14ac:dyDescent="0.25">
      <c r="A12" s="463"/>
      <c r="B12" s="13" t="s">
        <v>183</v>
      </c>
      <c r="C12" s="166">
        <v>56910</v>
      </c>
      <c r="D12" s="167">
        <f>85310+215333</f>
        <v>300643</v>
      </c>
      <c r="E12" s="168">
        <f>SUM(C12:D12)</f>
        <v>357553</v>
      </c>
    </row>
    <row r="13" spans="1:6" ht="15" customHeight="1" x14ac:dyDescent="0.25">
      <c r="A13" s="463"/>
      <c r="B13" s="13" t="s">
        <v>186</v>
      </c>
      <c r="C13" s="166">
        <v>60736</v>
      </c>
      <c r="D13" s="167">
        <v>286588</v>
      </c>
      <c r="E13" s="168">
        <f>SUM(C13:D13)</f>
        <v>347324</v>
      </c>
    </row>
    <row r="14" spans="1:6" ht="15" customHeight="1" x14ac:dyDescent="0.25">
      <c r="A14" s="463"/>
      <c r="B14" s="13" t="s">
        <v>189</v>
      </c>
      <c r="C14" s="166"/>
      <c r="D14" s="167"/>
      <c r="E14" s="168"/>
    </row>
    <row r="15" spans="1:6" ht="15" customHeight="1" thickBot="1" x14ac:dyDescent="0.3">
      <c r="A15" s="464"/>
      <c r="B15" s="14" t="s">
        <v>190</v>
      </c>
      <c r="C15" s="169"/>
      <c r="D15" s="170"/>
      <c r="E15" s="171"/>
    </row>
    <row r="16" spans="1:6" ht="15.6" thickTop="1" thickBot="1" x14ac:dyDescent="0.3">
      <c r="A16" s="10"/>
      <c r="B16" s="11" t="s">
        <v>0</v>
      </c>
      <c r="C16" s="172">
        <f>SUM(C4:C15)</f>
        <v>557571</v>
      </c>
      <c r="D16" s="173">
        <f>SUM(D4:D15)</f>
        <v>2693802</v>
      </c>
      <c r="E16" s="174">
        <f>SUM(E4:E15)</f>
        <v>3251373</v>
      </c>
    </row>
    <row r="17" spans="1:8" ht="15" thickBot="1" x14ac:dyDescent="0.3"/>
    <row r="18" spans="1:8" ht="15" customHeight="1" x14ac:dyDescent="0.25">
      <c r="A18" s="454"/>
      <c r="B18" s="455"/>
      <c r="C18" s="460" t="s">
        <v>16</v>
      </c>
      <c r="D18" s="458" t="s">
        <v>15</v>
      </c>
      <c r="E18" s="452" t="s">
        <v>0</v>
      </c>
      <c r="F18" s="15"/>
    </row>
    <row r="19" spans="1:8" ht="15" customHeight="1" thickBot="1" x14ac:dyDescent="0.3">
      <c r="A19" s="456"/>
      <c r="B19" s="457"/>
      <c r="C19" s="461"/>
      <c r="D19" s="459"/>
      <c r="E19" s="453"/>
      <c r="F19" s="15"/>
      <c r="H19" s="289"/>
    </row>
    <row r="20" spans="1:8" ht="15" customHeight="1" x14ac:dyDescent="0.25">
      <c r="A20" s="462" t="s">
        <v>165</v>
      </c>
      <c r="B20" s="12">
        <v>1</v>
      </c>
      <c r="C20" s="163">
        <v>59501</v>
      </c>
      <c r="D20" s="164">
        <f>72046+189521</f>
        <v>261567</v>
      </c>
      <c r="E20" s="165">
        <f t="shared" ref="E20:E25" si="1">C20+D20</f>
        <v>321068</v>
      </c>
      <c r="F20" s="15"/>
      <c r="H20" s="289"/>
    </row>
    <row r="21" spans="1:8" ht="15" customHeight="1" x14ac:dyDescent="0.25">
      <c r="A21" s="463"/>
      <c r="B21" s="13" t="s">
        <v>166</v>
      </c>
      <c r="C21" s="166">
        <v>52102</v>
      </c>
      <c r="D21" s="167">
        <f>66346+182066</f>
        <v>248412</v>
      </c>
      <c r="E21" s="168">
        <f t="shared" si="1"/>
        <v>300514</v>
      </c>
      <c r="F21" s="15"/>
      <c r="H21" s="289"/>
    </row>
    <row r="22" spans="1:8" ht="15" customHeight="1" x14ac:dyDescent="0.25">
      <c r="A22" s="463"/>
      <c r="B22" s="13" t="s">
        <v>169</v>
      </c>
      <c r="C22" s="166">
        <v>73810</v>
      </c>
      <c r="D22" s="167">
        <f>82616+221820</f>
        <v>304436</v>
      </c>
      <c r="E22" s="168">
        <f t="shared" si="1"/>
        <v>378246</v>
      </c>
      <c r="H22" s="289"/>
    </row>
    <row r="23" spans="1:8" ht="15" customHeight="1" x14ac:dyDescent="0.25">
      <c r="A23" s="463"/>
      <c r="B23" s="13" t="s">
        <v>170</v>
      </c>
      <c r="C23" s="166">
        <v>70219</v>
      </c>
      <c r="D23" s="167">
        <f>76112+202853</f>
        <v>278965</v>
      </c>
      <c r="E23" s="168">
        <f t="shared" si="1"/>
        <v>349184</v>
      </c>
    </row>
    <row r="24" spans="1:8" ht="15" customHeight="1" x14ac:dyDescent="0.25">
      <c r="A24" s="463"/>
      <c r="B24" s="13" t="s">
        <v>175</v>
      </c>
      <c r="C24" s="166">
        <v>62056</v>
      </c>
      <c r="D24" s="167">
        <f>83951+179535</f>
        <v>263486</v>
      </c>
      <c r="E24" s="168">
        <f t="shared" si="1"/>
        <v>325542</v>
      </c>
    </row>
    <row r="25" spans="1:8" ht="15" customHeight="1" x14ac:dyDescent="0.25">
      <c r="A25" s="463"/>
      <c r="B25" s="13" t="s">
        <v>176</v>
      </c>
      <c r="C25" s="166">
        <v>68407</v>
      </c>
      <c r="D25" s="167">
        <f>85177+203047</f>
        <v>288224</v>
      </c>
      <c r="E25" s="168">
        <f t="shared" si="1"/>
        <v>356631</v>
      </c>
    </row>
    <row r="26" spans="1:8" ht="15" customHeight="1" x14ac:dyDescent="0.25">
      <c r="A26" s="463"/>
      <c r="B26" s="13" t="s">
        <v>178</v>
      </c>
      <c r="C26" s="166">
        <v>59856</v>
      </c>
      <c r="D26" s="167">
        <f>74804+178800</f>
        <v>253604</v>
      </c>
      <c r="E26" s="168">
        <f>SUM(C26+D26)</f>
        <v>313460</v>
      </c>
    </row>
    <row r="27" spans="1:8" ht="15" customHeight="1" x14ac:dyDescent="0.25">
      <c r="A27" s="463"/>
      <c r="B27" s="13" t="s">
        <v>182</v>
      </c>
      <c r="C27" s="166">
        <v>51034</v>
      </c>
      <c r="D27" s="167">
        <f>74986+173984</f>
        <v>248970</v>
      </c>
      <c r="E27" s="168">
        <f>SUM(C27+D27)</f>
        <v>300004</v>
      </c>
    </row>
    <row r="28" spans="1:8" ht="15" customHeight="1" x14ac:dyDescent="0.25">
      <c r="A28" s="463"/>
      <c r="B28" s="13" t="s">
        <v>183</v>
      </c>
      <c r="C28" s="166">
        <v>43857</v>
      </c>
      <c r="D28" s="167">
        <f>79193+162388</f>
        <v>241581</v>
      </c>
      <c r="E28" s="168">
        <f>SUM(C28:D28)</f>
        <v>285438</v>
      </c>
    </row>
    <row r="29" spans="1:8" ht="15" customHeight="1" x14ac:dyDescent="0.25">
      <c r="A29" s="463"/>
      <c r="B29" s="13" t="s">
        <v>186</v>
      </c>
      <c r="C29" s="166">
        <v>57813</v>
      </c>
      <c r="D29" s="167">
        <f>84242+167426</f>
        <v>251668</v>
      </c>
      <c r="E29" s="168">
        <f>SUM(C29:D29)</f>
        <v>309481</v>
      </c>
    </row>
    <row r="30" spans="1:8" ht="15" customHeight="1" x14ac:dyDescent="0.25">
      <c r="A30" s="463"/>
      <c r="B30" s="13" t="s">
        <v>189</v>
      </c>
      <c r="C30" s="166">
        <v>62071</v>
      </c>
      <c r="D30" s="167">
        <f>71409+183701</f>
        <v>255110</v>
      </c>
      <c r="E30" s="168">
        <f>SUM(C30:D30)</f>
        <v>317181</v>
      </c>
    </row>
    <row r="31" spans="1:8" ht="15" customHeight="1" thickBot="1" x14ac:dyDescent="0.3">
      <c r="A31" s="464"/>
      <c r="B31" s="14" t="s">
        <v>190</v>
      </c>
      <c r="C31" s="169">
        <v>66112</v>
      </c>
      <c r="D31" s="170">
        <f>77405+190460</f>
        <v>267865</v>
      </c>
      <c r="E31" s="171">
        <f>SUM(C31:D31)</f>
        <v>333977</v>
      </c>
    </row>
    <row r="32" spans="1:8" ht="15.6" thickTop="1" thickBot="1" x14ac:dyDescent="0.3">
      <c r="A32" s="10"/>
      <c r="B32" s="11" t="s">
        <v>0</v>
      </c>
      <c r="C32" s="172">
        <f>SUM(C20:C31)</f>
        <v>726838</v>
      </c>
      <c r="D32" s="173">
        <f>SUM(D20:D31)</f>
        <v>3163888</v>
      </c>
      <c r="E32" s="174">
        <f>SUM(E20:E31)</f>
        <v>3890726</v>
      </c>
    </row>
    <row r="33" spans="1:9" ht="13.5" hidden="1" customHeight="1" thickBot="1" x14ac:dyDescent="0.3">
      <c r="A33" s="2"/>
      <c r="B33" s="7"/>
      <c r="C33" s="2"/>
      <c r="D33" s="2"/>
      <c r="E33" s="2"/>
      <c r="F33" s="15"/>
    </row>
    <row r="34" spans="1:9" ht="15" hidden="1" customHeight="1" x14ac:dyDescent="0.25">
      <c r="A34" s="454"/>
      <c r="B34" s="455"/>
      <c r="C34" s="460" t="s">
        <v>16</v>
      </c>
      <c r="D34" s="458" t="s">
        <v>15</v>
      </c>
      <c r="E34" s="452" t="s">
        <v>0</v>
      </c>
      <c r="F34" s="15"/>
    </row>
    <row r="35" spans="1:9" ht="15" hidden="1" customHeight="1" thickBot="1" x14ac:dyDescent="0.3">
      <c r="A35" s="456"/>
      <c r="B35" s="457"/>
      <c r="C35" s="461"/>
      <c r="D35" s="459"/>
      <c r="E35" s="453"/>
      <c r="F35" s="15"/>
    </row>
    <row r="36" spans="1:9" ht="15" hidden="1" customHeight="1" x14ac:dyDescent="0.25">
      <c r="A36" s="462" t="s">
        <v>147</v>
      </c>
      <c r="B36" s="12">
        <v>1</v>
      </c>
      <c r="C36" s="163">
        <v>47591</v>
      </c>
      <c r="D36" s="164">
        <v>267234</v>
      </c>
      <c r="E36" s="165">
        <f t="shared" ref="E36:E47" si="2">C36+D36</f>
        <v>314825</v>
      </c>
      <c r="F36" s="15"/>
    </row>
    <row r="37" spans="1:9" ht="15" hidden="1" customHeight="1" x14ac:dyDescent="0.25">
      <c r="A37" s="463"/>
      <c r="B37" s="13" t="s">
        <v>70</v>
      </c>
      <c r="C37" s="166">
        <v>39290</v>
      </c>
      <c r="D37" s="167">
        <v>242073</v>
      </c>
      <c r="E37" s="168">
        <f t="shared" si="2"/>
        <v>281363</v>
      </c>
      <c r="F37" s="15"/>
    </row>
    <row r="38" spans="1:9" ht="15" hidden="1" customHeight="1" x14ac:dyDescent="0.25">
      <c r="A38" s="463"/>
      <c r="B38" s="13">
        <v>3</v>
      </c>
      <c r="C38" s="166">
        <v>72180</v>
      </c>
      <c r="D38" s="167">
        <v>234996</v>
      </c>
      <c r="E38" s="168">
        <f t="shared" si="2"/>
        <v>307176</v>
      </c>
    </row>
    <row r="39" spans="1:9" ht="15" hidden="1" customHeight="1" x14ac:dyDescent="0.25">
      <c r="A39" s="463"/>
      <c r="B39" s="13" t="s">
        <v>71</v>
      </c>
      <c r="C39" s="166">
        <v>71042</v>
      </c>
      <c r="D39" s="167">
        <v>96651</v>
      </c>
      <c r="E39" s="168">
        <f t="shared" si="2"/>
        <v>167693</v>
      </c>
    </row>
    <row r="40" spans="1:9" ht="15" hidden="1" customHeight="1" x14ac:dyDescent="0.25">
      <c r="A40" s="463"/>
      <c r="B40" s="13" t="s">
        <v>72</v>
      </c>
      <c r="C40" s="166">
        <v>70810</v>
      </c>
      <c r="D40" s="167">
        <v>155646</v>
      </c>
      <c r="E40" s="168">
        <f t="shared" si="2"/>
        <v>226456</v>
      </c>
    </row>
    <row r="41" spans="1:9" ht="15" hidden="1" customHeight="1" x14ac:dyDescent="0.25">
      <c r="A41" s="463"/>
      <c r="B41" s="13" t="s">
        <v>73</v>
      </c>
      <c r="C41" s="166">
        <v>83700</v>
      </c>
      <c r="D41" s="167">
        <v>226127</v>
      </c>
      <c r="E41" s="168">
        <f t="shared" si="2"/>
        <v>309827</v>
      </c>
    </row>
    <row r="42" spans="1:9" ht="15" hidden="1" customHeight="1" x14ac:dyDescent="0.25">
      <c r="A42" s="463"/>
      <c r="B42" s="13" t="s">
        <v>76</v>
      </c>
      <c r="C42" s="166">
        <v>77381</v>
      </c>
      <c r="D42" s="167">
        <v>240022</v>
      </c>
      <c r="E42" s="168">
        <f t="shared" si="2"/>
        <v>317403</v>
      </c>
      <c r="I42" s="289"/>
    </row>
    <row r="43" spans="1:9" ht="15" hidden="1" customHeight="1" x14ac:dyDescent="0.25">
      <c r="A43" s="463"/>
      <c r="B43" s="13" t="s">
        <v>77</v>
      </c>
      <c r="C43" s="166">
        <v>54590</v>
      </c>
      <c r="D43" s="167">
        <v>264110</v>
      </c>
      <c r="E43" s="168">
        <f t="shared" si="2"/>
        <v>318700</v>
      </c>
    </row>
    <row r="44" spans="1:9" ht="15" hidden="1" customHeight="1" x14ac:dyDescent="0.25">
      <c r="A44" s="463"/>
      <c r="B44" s="13" t="s">
        <v>78</v>
      </c>
      <c r="C44" s="166">
        <v>67080</v>
      </c>
      <c r="D44" s="167">
        <v>294631</v>
      </c>
      <c r="E44" s="168">
        <f t="shared" si="2"/>
        <v>361711</v>
      </c>
    </row>
    <row r="45" spans="1:9" ht="15" hidden="1" customHeight="1" x14ac:dyDescent="0.25">
      <c r="A45" s="463"/>
      <c r="B45" s="13" t="s">
        <v>79</v>
      </c>
      <c r="C45" s="166">
        <v>65669</v>
      </c>
      <c r="D45" s="167">
        <v>321528</v>
      </c>
      <c r="E45" s="168">
        <f t="shared" si="2"/>
        <v>387197</v>
      </c>
    </row>
    <row r="46" spans="1:9" ht="15" hidden="1" customHeight="1" x14ac:dyDescent="0.25">
      <c r="A46" s="463"/>
      <c r="B46" s="13" t="s">
        <v>81</v>
      </c>
      <c r="C46" s="166">
        <v>70035</v>
      </c>
      <c r="D46" s="167">
        <v>307158</v>
      </c>
      <c r="E46" s="168">
        <f t="shared" si="2"/>
        <v>377193</v>
      </c>
    </row>
    <row r="47" spans="1:9" ht="15" hidden="1" customHeight="1" thickBot="1" x14ac:dyDescent="0.3">
      <c r="A47" s="464"/>
      <c r="B47" s="14" t="s">
        <v>82</v>
      </c>
      <c r="C47" s="169">
        <v>68486</v>
      </c>
      <c r="D47" s="170">
        <v>306707</v>
      </c>
      <c r="E47" s="171">
        <f t="shared" si="2"/>
        <v>375193</v>
      </c>
    </row>
    <row r="48" spans="1:9" ht="15.6" hidden="1" thickTop="1" thickBot="1" x14ac:dyDescent="0.3">
      <c r="A48" s="10"/>
      <c r="B48" s="11" t="s">
        <v>0</v>
      </c>
      <c r="C48" s="172">
        <f>SUM(C36:C47)</f>
        <v>787854</v>
      </c>
      <c r="D48" s="173">
        <f>SUM(D36:D47)</f>
        <v>2956883</v>
      </c>
      <c r="E48" s="174">
        <f>SUM(E36:E47)</f>
        <v>3744737</v>
      </c>
    </row>
    <row r="49" spans="1:5" ht="15" hidden="1" thickBot="1" x14ac:dyDescent="0.3">
      <c r="A49" s="261"/>
      <c r="B49" s="261"/>
      <c r="C49" s="262"/>
      <c r="D49" s="262"/>
      <c r="E49" s="262"/>
    </row>
    <row r="50" spans="1:5" hidden="1" x14ac:dyDescent="0.25">
      <c r="A50" s="454"/>
      <c r="B50" s="455"/>
      <c r="C50" s="460" t="s">
        <v>16</v>
      </c>
      <c r="D50" s="458" t="s">
        <v>15</v>
      </c>
      <c r="E50" s="452" t="s">
        <v>0</v>
      </c>
    </row>
    <row r="51" spans="1:5" ht="15" hidden="1" thickBot="1" x14ac:dyDescent="0.3">
      <c r="A51" s="456"/>
      <c r="B51" s="457"/>
      <c r="C51" s="461"/>
      <c r="D51" s="459"/>
      <c r="E51" s="453"/>
    </row>
    <row r="52" spans="1:5" hidden="1" x14ac:dyDescent="0.25">
      <c r="A52" s="462" t="s">
        <v>168</v>
      </c>
      <c r="B52" s="12">
        <v>1</v>
      </c>
      <c r="C52" s="163">
        <v>60440</v>
      </c>
      <c r="D52" s="164">
        <v>254954</v>
      </c>
      <c r="E52" s="165">
        <f t="shared" ref="E52:E63" si="3">C52+D52</f>
        <v>315394</v>
      </c>
    </row>
    <row r="53" spans="1:5" hidden="1" x14ac:dyDescent="0.25">
      <c r="A53" s="463"/>
      <c r="B53" s="13" t="s">
        <v>70</v>
      </c>
      <c r="C53" s="166">
        <v>53406</v>
      </c>
      <c r="D53" s="167">
        <v>262414</v>
      </c>
      <c r="E53" s="168">
        <f t="shared" si="3"/>
        <v>315820</v>
      </c>
    </row>
    <row r="54" spans="1:5" hidden="1" x14ac:dyDescent="0.25">
      <c r="A54" s="463"/>
      <c r="B54" s="13">
        <v>3</v>
      </c>
      <c r="C54" s="166">
        <v>70111</v>
      </c>
      <c r="D54" s="167">
        <v>320066</v>
      </c>
      <c r="E54" s="168">
        <f t="shared" si="3"/>
        <v>390177</v>
      </c>
    </row>
    <row r="55" spans="1:5" hidden="1" x14ac:dyDescent="0.25">
      <c r="A55" s="463"/>
      <c r="B55" s="13" t="s">
        <v>71</v>
      </c>
      <c r="C55" s="166">
        <v>71413</v>
      </c>
      <c r="D55" s="167">
        <v>297540</v>
      </c>
      <c r="E55" s="168">
        <f t="shared" si="3"/>
        <v>368953</v>
      </c>
    </row>
    <row r="56" spans="1:5" hidden="1" x14ac:dyDescent="0.25">
      <c r="A56" s="463"/>
      <c r="B56" s="13" t="s">
        <v>72</v>
      </c>
      <c r="C56" s="166">
        <v>67756</v>
      </c>
      <c r="D56" s="167">
        <v>290811</v>
      </c>
      <c r="E56" s="168">
        <f t="shared" si="3"/>
        <v>358567</v>
      </c>
    </row>
    <row r="57" spans="1:5" hidden="1" x14ac:dyDescent="0.25">
      <c r="A57" s="463"/>
      <c r="B57" s="13" t="s">
        <v>73</v>
      </c>
      <c r="C57" s="166">
        <v>60987</v>
      </c>
      <c r="D57" s="167">
        <v>316409</v>
      </c>
      <c r="E57" s="168">
        <f t="shared" si="3"/>
        <v>377396</v>
      </c>
    </row>
    <row r="58" spans="1:5" hidden="1" x14ac:dyDescent="0.25">
      <c r="A58" s="463"/>
      <c r="B58" s="13" t="s">
        <v>76</v>
      </c>
      <c r="C58" s="166">
        <v>60286</v>
      </c>
      <c r="D58" s="167">
        <v>297576</v>
      </c>
      <c r="E58" s="168">
        <f t="shared" si="3"/>
        <v>357862</v>
      </c>
    </row>
    <row r="59" spans="1:5" hidden="1" x14ac:dyDescent="0.25">
      <c r="A59" s="463"/>
      <c r="B59" s="13" t="s">
        <v>77</v>
      </c>
      <c r="C59" s="166">
        <v>52897</v>
      </c>
      <c r="D59" s="167">
        <v>311693</v>
      </c>
      <c r="E59" s="168">
        <f t="shared" si="3"/>
        <v>364590</v>
      </c>
    </row>
    <row r="60" spans="1:5" hidden="1" x14ac:dyDescent="0.25">
      <c r="A60" s="463"/>
      <c r="B60" s="13" t="s">
        <v>78</v>
      </c>
      <c r="C60" s="166">
        <v>50139</v>
      </c>
      <c r="D60" s="167">
        <v>330771</v>
      </c>
      <c r="E60" s="168">
        <f t="shared" si="3"/>
        <v>380910</v>
      </c>
    </row>
    <row r="61" spans="1:5" hidden="1" x14ac:dyDescent="0.25">
      <c r="A61" s="463"/>
      <c r="B61" s="13" t="s">
        <v>79</v>
      </c>
      <c r="C61" s="166">
        <v>64912</v>
      </c>
      <c r="D61" s="167">
        <v>337800</v>
      </c>
      <c r="E61" s="168">
        <f t="shared" si="3"/>
        <v>402712</v>
      </c>
    </row>
    <row r="62" spans="1:5" hidden="1" x14ac:dyDescent="0.25">
      <c r="A62" s="463"/>
      <c r="B62" s="13" t="s">
        <v>81</v>
      </c>
      <c r="C62" s="166">
        <v>63160</v>
      </c>
      <c r="D62" s="167">
        <v>330534</v>
      </c>
      <c r="E62" s="168">
        <f t="shared" si="3"/>
        <v>393694</v>
      </c>
    </row>
    <row r="63" spans="1:5" ht="15" hidden="1" thickBot="1" x14ac:dyDescent="0.3">
      <c r="A63" s="464"/>
      <c r="B63" s="14" t="s">
        <v>82</v>
      </c>
      <c r="C63" s="169">
        <v>66335</v>
      </c>
      <c r="D63" s="170">
        <v>333118</v>
      </c>
      <c r="E63" s="171">
        <f t="shared" si="3"/>
        <v>399453</v>
      </c>
    </row>
    <row r="64" spans="1:5" ht="15.6" hidden="1" thickTop="1" thickBot="1" x14ac:dyDescent="0.3">
      <c r="A64" s="10"/>
      <c r="B64" s="11" t="s">
        <v>0</v>
      </c>
      <c r="C64" s="172">
        <f>SUM(C52:C63)</f>
        <v>741842</v>
      </c>
      <c r="D64" s="173">
        <f>SUM(D52:D63)</f>
        <v>3683686</v>
      </c>
      <c r="E64" s="174">
        <f>SUM(E52:E63)</f>
        <v>4425528</v>
      </c>
    </row>
    <row r="65" spans="1:6" ht="13.5" hidden="1" customHeight="1" thickBot="1" x14ac:dyDescent="0.3">
      <c r="A65" s="263"/>
      <c r="B65" s="264"/>
      <c r="C65" s="263"/>
      <c r="D65" s="263"/>
      <c r="E65" s="263"/>
      <c r="F65" s="15"/>
    </row>
    <row r="66" spans="1:6" ht="15" hidden="1" customHeight="1" x14ac:dyDescent="0.25">
      <c r="A66" s="454"/>
      <c r="B66" s="455"/>
      <c r="C66" s="460" t="s">
        <v>16</v>
      </c>
      <c r="D66" s="458" t="s">
        <v>15</v>
      </c>
      <c r="E66" s="452" t="s">
        <v>0</v>
      </c>
      <c r="F66" s="15"/>
    </row>
    <row r="67" spans="1:6" ht="15" hidden="1" customHeight="1" thickBot="1" x14ac:dyDescent="0.3">
      <c r="A67" s="456"/>
      <c r="B67" s="457"/>
      <c r="C67" s="461"/>
      <c r="D67" s="459"/>
      <c r="E67" s="453"/>
      <c r="F67" s="15"/>
    </row>
    <row r="68" spans="1:6" ht="15" hidden="1" customHeight="1" x14ac:dyDescent="0.25">
      <c r="A68" s="462" t="s">
        <v>120</v>
      </c>
      <c r="B68" s="12">
        <v>1</v>
      </c>
      <c r="C68" s="163">
        <v>51426</v>
      </c>
      <c r="D68" s="164">
        <v>287948</v>
      </c>
      <c r="E68" s="165">
        <f t="shared" ref="E68:E79" si="4">C68+D68</f>
        <v>339374</v>
      </c>
      <c r="F68" s="15"/>
    </row>
    <row r="69" spans="1:6" ht="15" hidden="1" customHeight="1" x14ac:dyDescent="0.25">
      <c r="A69" s="463"/>
      <c r="B69" s="13" t="s">
        <v>70</v>
      </c>
      <c r="C69" s="166">
        <v>50200</v>
      </c>
      <c r="D69" s="167">
        <v>262068</v>
      </c>
      <c r="E69" s="168">
        <f t="shared" si="4"/>
        <v>312268</v>
      </c>
      <c r="F69" s="15"/>
    </row>
    <row r="70" spans="1:6" ht="15" hidden="1" customHeight="1" x14ac:dyDescent="0.25">
      <c r="A70" s="463"/>
      <c r="B70" s="13">
        <v>3</v>
      </c>
      <c r="C70" s="166">
        <v>67577</v>
      </c>
      <c r="D70" s="167">
        <v>330170</v>
      </c>
      <c r="E70" s="168">
        <f t="shared" si="4"/>
        <v>397747</v>
      </c>
    </row>
    <row r="71" spans="1:6" ht="15" hidden="1" customHeight="1" x14ac:dyDescent="0.25">
      <c r="A71" s="463"/>
      <c r="B71" s="13" t="s">
        <v>71</v>
      </c>
      <c r="C71" s="166">
        <v>63788</v>
      </c>
      <c r="D71" s="167">
        <v>327995</v>
      </c>
      <c r="E71" s="168">
        <f t="shared" si="4"/>
        <v>391783</v>
      </c>
    </row>
    <row r="72" spans="1:6" ht="15" hidden="1" customHeight="1" x14ac:dyDescent="0.25">
      <c r="A72" s="463"/>
      <c r="B72" s="13" t="s">
        <v>72</v>
      </c>
      <c r="C72" s="166">
        <v>61896</v>
      </c>
      <c r="D72" s="167">
        <v>325610</v>
      </c>
      <c r="E72" s="168">
        <f t="shared" si="4"/>
        <v>387506</v>
      </c>
    </row>
    <row r="73" spans="1:6" ht="15" hidden="1" customHeight="1" x14ac:dyDescent="0.25">
      <c r="A73" s="463"/>
      <c r="B73" s="13" t="s">
        <v>73</v>
      </c>
      <c r="C73" s="166">
        <v>59494</v>
      </c>
      <c r="D73" s="167">
        <v>353358</v>
      </c>
      <c r="E73" s="168">
        <f t="shared" si="4"/>
        <v>412852</v>
      </c>
    </row>
    <row r="74" spans="1:6" ht="15" hidden="1" customHeight="1" x14ac:dyDescent="0.25">
      <c r="A74" s="463"/>
      <c r="B74" s="13" t="s">
        <v>76</v>
      </c>
      <c r="C74" s="166">
        <v>60367</v>
      </c>
      <c r="D74" s="167">
        <v>286498</v>
      </c>
      <c r="E74" s="168">
        <f t="shared" si="4"/>
        <v>346865</v>
      </c>
    </row>
    <row r="75" spans="1:6" ht="15" hidden="1" customHeight="1" x14ac:dyDescent="0.25">
      <c r="A75" s="463"/>
      <c r="B75" s="13" t="s">
        <v>77</v>
      </c>
      <c r="C75" s="166">
        <v>58582</v>
      </c>
      <c r="D75" s="167">
        <v>328303</v>
      </c>
      <c r="E75" s="168">
        <f t="shared" si="4"/>
        <v>386885</v>
      </c>
    </row>
    <row r="76" spans="1:6" ht="15" hidden="1" customHeight="1" x14ac:dyDescent="0.25">
      <c r="A76" s="463"/>
      <c r="B76" s="13" t="s">
        <v>78</v>
      </c>
      <c r="C76" s="166">
        <v>52494</v>
      </c>
      <c r="D76" s="167">
        <v>334982</v>
      </c>
      <c r="E76" s="168">
        <f t="shared" si="4"/>
        <v>387476</v>
      </c>
    </row>
    <row r="77" spans="1:6" ht="15" hidden="1" customHeight="1" x14ac:dyDescent="0.25">
      <c r="A77" s="463"/>
      <c r="B77" s="13" t="s">
        <v>79</v>
      </c>
      <c r="C77" s="166">
        <v>66288</v>
      </c>
      <c r="D77" s="167">
        <v>344037</v>
      </c>
      <c r="E77" s="168">
        <f t="shared" si="4"/>
        <v>410325</v>
      </c>
    </row>
    <row r="78" spans="1:6" ht="15" hidden="1" customHeight="1" x14ac:dyDescent="0.25">
      <c r="A78" s="463"/>
      <c r="B78" s="13" t="s">
        <v>81</v>
      </c>
      <c r="C78" s="166">
        <v>64131</v>
      </c>
      <c r="D78" s="167">
        <v>339237</v>
      </c>
      <c r="E78" s="168">
        <f t="shared" si="4"/>
        <v>403368</v>
      </c>
    </row>
    <row r="79" spans="1:6" ht="15" hidden="1" customHeight="1" thickBot="1" x14ac:dyDescent="0.3">
      <c r="A79" s="464"/>
      <c r="B79" s="14" t="s">
        <v>82</v>
      </c>
      <c r="C79" s="169">
        <v>64835</v>
      </c>
      <c r="D79" s="170">
        <v>347915</v>
      </c>
      <c r="E79" s="171">
        <f t="shared" si="4"/>
        <v>412750</v>
      </c>
    </row>
    <row r="80" spans="1:6" ht="15.6" hidden="1" thickTop="1" thickBot="1" x14ac:dyDescent="0.3">
      <c r="A80" s="10"/>
      <c r="B80" s="11" t="s">
        <v>0</v>
      </c>
      <c r="C80" s="172">
        <f>SUM(C68:C79)</f>
        <v>721078</v>
      </c>
      <c r="D80" s="173">
        <f>SUM(D68:D79)</f>
        <v>3868121</v>
      </c>
      <c r="E80" s="174">
        <f>SUM(E68:E79)</f>
        <v>4589199</v>
      </c>
    </row>
    <row r="81" spans="1:6" ht="13.5" hidden="1" customHeight="1" thickBot="1" x14ac:dyDescent="0.3">
      <c r="A81" s="2"/>
      <c r="B81" s="7"/>
      <c r="C81" s="2"/>
      <c r="D81" s="2"/>
      <c r="E81" s="2"/>
      <c r="F81" s="15"/>
    </row>
    <row r="82" spans="1:6" ht="13.5" hidden="1" customHeight="1" x14ac:dyDescent="0.25">
      <c r="A82" s="454"/>
      <c r="B82" s="455"/>
      <c r="C82" s="460" t="s">
        <v>16</v>
      </c>
      <c r="D82" s="458" t="s">
        <v>15</v>
      </c>
      <c r="E82" s="452" t="s">
        <v>0</v>
      </c>
      <c r="F82" s="8"/>
    </row>
    <row r="83" spans="1:6" ht="15" hidden="1" thickBot="1" x14ac:dyDescent="0.3">
      <c r="A83" s="456"/>
      <c r="B83" s="457"/>
      <c r="C83" s="461"/>
      <c r="D83" s="459"/>
      <c r="E83" s="453"/>
      <c r="F83" s="8"/>
    </row>
    <row r="84" spans="1:6" ht="15" hidden="1" customHeight="1" x14ac:dyDescent="0.25">
      <c r="A84" s="462" t="s">
        <v>83</v>
      </c>
      <c r="B84" s="12">
        <v>1</v>
      </c>
      <c r="C84" s="163">
        <v>45100</v>
      </c>
      <c r="D84" s="164">
        <v>293932</v>
      </c>
      <c r="E84" s="165">
        <f t="shared" ref="E84:E95" si="5">C84+D84</f>
        <v>339032</v>
      </c>
      <c r="F84" s="9"/>
    </row>
    <row r="85" spans="1:6" ht="15" hidden="1" customHeight="1" x14ac:dyDescent="0.25">
      <c r="A85" s="463"/>
      <c r="B85" s="13" t="s">
        <v>70</v>
      </c>
      <c r="C85" s="166">
        <v>53113</v>
      </c>
      <c r="D85" s="167">
        <v>284607</v>
      </c>
      <c r="E85" s="168">
        <f t="shared" si="5"/>
        <v>337720</v>
      </c>
      <c r="F85" s="9"/>
    </row>
    <row r="86" spans="1:6" ht="15" hidden="1" customHeight="1" x14ac:dyDescent="0.25">
      <c r="A86" s="463"/>
      <c r="B86" s="13">
        <v>3</v>
      </c>
      <c r="C86" s="166">
        <v>63765</v>
      </c>
      <c r="D86" s="167">
        <v>326838</v>
      </c>
      <c r="E86" s="168">
        <f t="shared" si="5"/>
        <v>390603</v>
      </c>
      <c r="F86" s="9"/>
    </row>
    <row r="87" spans="1:6" ht="15" hidden="1" customHeight="1" x14ac:dyDescent="0.25">
      <c r="A87" s="463"/>
      <c r="B87" s="13" t="s">
        <v>71</v>
      </c>
      <c r="C87" s="166">
        <v>60361</v>
      </c>
      <c r="D87" s="167">
        <v>291858</v>
      </c>
      <c r="E87" s="168">
        <f t="shared" si="5"/>
        <v>352219</v>
      </c>
      <c r="F87" s="9"/>
    </row>
    <row r="88" spans="1:6" ht="15" hidden="1" customHeight="1" x14ac:dyDescent="0.25">
      <c r="A88" s="463"/>
      <c r="B88" s="13" t="s">
        <v>72</v>
      </c>
      <c r="C88" s="166">
        <v>60607</v>
      </c>
      <c r="D88" s="167">
        <v>305649</v>
      </c>
      <c r="E88" s="168">
        <f t="shared" si="5"/>
        <v>366256</v>
      </c>
      <c r="F88" s="9"/>
    </row>
    <row r="89" spans="1:6" ht="15" hidden="1" customHeight="1" x14ac:dyDescent="0.25">
      <c r="A89" s="463"/>
      <c r="B89" s="13" t="s">
        <v>73</v>
      </c>
      <c r="C89" s="166">
        <v>61837</v>
      </c>
      <c r="D89" s="167">
        <v>297185</v>
      </c>
      <c r="E89" s="168">
        <f t="shared" si="5"/>
        <v>359022</v>
      </c>
      <c r="F89" s="9"/>
    </row>
    <row r="90" spans="1:6" ht="15" hidden="1" customHeight="1" x14ac:dyDescent="0.25">
      <c r="A90" s="463"/>
      <c r="B90" s="13" t="s">
        <v>76</v>
      </c>
      <c r="C90" s="166">
        <v>59614</v>
      </c>
      <c r="D90" s="167">
        <v>303513</v>
      </c>
      <c r="E90" s="168">
        <f t="shared" si="5"/>
        <v>363127</v>
      </c>
      <c r="F90" s="9"/>
    </row>
    <row r="91" spans="1:6" ht="15" hidden="1" customHeight="1" x14ac:dyDescent="0.25">
      <c r="A91" s="463"/>
      <c r="B91" s="13" t="s">
        <v>77</v>
      </c>
      <c r="C91" s="166">
        <v>54560</v>
      </c>
      <c r="D91" s="167">
        <v>297518</v>
      </c>
      <c r="E91" s="168">
        <f t="shared" si="5"/>
        <v>352078</v>
      </c>
      <c r="F91" s="9"/>
    </row>
    <row r="92" spans="1:6" ht="15" hidden="1" customHeight="1" x14ac:dyDescent="0.25">
      <c r="A92" s="463"/>
      <c r="B92" s="13" t="s">
        <v>78</v>
      </c>
      <c r="C92" s="166">
        <v>59714</v>
      </c>
      <c r="D92" s="167">
        <v>352436</v>
      </c>
      <c r="E92" s="168">
        <f t="shared" si="5"/>
        <v>412150</v>
      </c>
      <c r="F92" s="9"/>
    </row>
    <row r="93" spans="1:6" ht="15" hidden="1" customHeight="1" x14ac:dyDescent="0.25">
      <c r="A93" s="463"/>
      <c r="B93" s="13" t="s">
        <v>79</v>
      </c>
      <c r="C93" s="166">
        <v>53012</v>
      </c>
      <c r="D93" s="167">
        <v>351309</v>
      </c>
      <c r="E93" s="168">
        <f t="shared" si="5"/>
        <v>404321</v>
      </c>
      <c r="F93" s="9"/>
    </row>
    <row r="94" spans="1:6" ht="15" hidden="1" customHeight="1" x14ac:dyDescent="0.25">
      <c r="A94" s="463"/>
      <c r="B94" s="13" t="s">
        <v>81</v>
      </c>
      <c r="C94" s="166">
        <v>63895</v>
      </c>
      <c r="D94" s="167">
        <v>357215</v>
      </c>
      <c r="E94" s="168">
        <f t="shared" si="5"/>
        <v>421110</v>
      </c>
      <c r="F94" s="9"/>
    </row>
    <row r="95" spans="1:6" ht="15" hidden="1" customHeight="1" thickBot="1" x14ac:dyDescent="0.3">
      <c r="A95" s="464"/>
      <c r="B95" s="14" t="s">
        <v>82</v>
      </c>
      <c r="C95" s="169">
        <v>53361</v>
      </c>
      <c r="D95" s="170">
        <v>355276</v>
      </c>
      <c r="E95" s="171">
        <f t="shared" si="5"/>
        <v>408637</v>
      </c>
      <c r="F95" s="9"/>
    </row>
    <row r="96" spans="1:6" ht="21.75" hidden="1" customHeight="1" thickTop="1" thickBot="1" x14ac:dyDescent="0.3">
      <c r="A96" s="10"/>
      <c r="B96" s="11" t="s">
        <v>0</v>
      </c>
      <c r="C96" s="172">
        <f>SUM(C84:C95)</f>
        <v>688939</v>
      </c>
      <c r="D96" s="173">
        <f>SUM(D84:D95)</f>
        <v>3817336</v>
      </c>
      <c r="E96" s="174">
        <f>SUM(E84:E95)</f>
        <v>4506275</v>
      </c>
      <c r="F96" s="9"/>
    </row>
    <row r="97" spans="1:6" ht="13.5" hidden="1" customHeight="1" thickBot="1" x14ac:dyDescent="0.3">
      <c r="A97" s="2"/>
      <c r="B97" s="7"/>
      <c r="C97" s="2"/>
      <c r="D97" s="2"/>
      <c r="E97" s="2"/>
      <c r="F97" s="15"/>
    </row>
    <row r="98" spans="1:6" ht="13.5" hidden="1" customHeight="1" x14ac:dyDescent="0.25">
      <c r="A98" s="454"/>
      <c r="B98" s="455"/>
      <c r="C98" s="460" t="s">
        <v>16</v>
      </c>
      <c r="D98" s="458" t="s">
        <v>15</v>
      </c>
      <c r="E98" s="452" t="s">
        <v>0</v>
      </c>
      <c r="F98" s="8"/>
    </row>
    <row r="99" spans="1:6" ht="14.25" hidden="1" customHeight="1" thickBot="1" x14ac:dyDescent="0.3">
      <c r="A99" s="456"/>
      <c r="B99" s="457"/>
      <c r="C99" s="461"/>
      <c r="D99" s="459"/>
      <c r="E99" s="453"/>
      <c r="F99" s="8"/>
    </row>
    <row r="100" spans="1:6" ht="15" hidden="1" customHeight="1" x14ac:dyDescent="0.25">
      <c r="A100" s="462" t="s">
        <v>67</v>
      </c>
      <c r="B100" s="12">
        <v>1</v>
      </c>
      <c r="C100" s="163">
        <v>49852</v>
      </c>
      <c r="D100" s="164">
        <v>260687</v>
      </c>
      <c r="E100" s="165">
        <f t="shared" ref="E100:E111" si="6">C100+D100</f>
        <v>310539</v>
      </c>
      <c r="F100" s="9"/>
    </row>
    <row r="101" spans="1:6" ht="15" hidden="1" customHeight="1" x14ac:dyDescent="0.25">
      <c r="A101" s="463"/>
      <c r="B101" s="13" t="s">
        <v>70</v>
      </c>
      <c r="C101" s="166">
        <v>48844</v>
      </c>
      <c r="D101" s="167">
        <v>282362</v>
      </c>
      <c r="E101" s="168">
        <f t="shared" si="6"/>
        <v>331206</v>
      </c>
      <c r="F101" s="9"/>
    </row>
    <row r="102" spans="1:6" ht="15" hidden="1" customHeight="1" x14ac:dyDescent="0.25">
      <c r="A102" s="463"/>
      <c r="B102" s="13">
        <v>3</v>
      </c>
      <c r="C102" s="166">
        <v>62166</v>
      </c>
      <c r="D102" s="167">
        <v>372265</v>
      </c>
      <c r="E102" s="168">
        <f t="shared" si="6"/>
        <v>434431</v>
      </c>
      <c r="F102" s="9"/>
    </row>
    <row r="103" spans="1:6" ht="15" hidden="1" customHeight="1" x14ac:dyDescent="0.25">
      <c r="A103" s="463"/>
      <c r="B103" s="13" t="s">
        <v>71</v>
      </c>
      <c r="C103" s="166">
        <v>59465</v>
      </c>
      <c r="D103" s="167">
        <v>349654</v>
      </c>
      <c r="E103" s="168">
        <f t="shared" si="6"/>
        <v>409119</v>
      </c>
      <c r="F103" s="9"/>
    </row>
    <row r="104" spans="1:6" ht="15" hidden="1" customHeight="1" x14ac:dyDescent="0.25">
      <c r="A104" s="463"/>
      <c r="B104" s="13" t="s">
        <v>72</v>
      </c>
      <c r="C104" s="166">
        <v>60827</v>
      </c>
      <c r="D104" s="167">
        <v>361957</v>
      </c>
      <c r="E104" s="168">
        <f t="shared" si="6"/>
        <v>422784</v>
      </c>
      <c r="F104" s="9"/>
    </row>
    <row r="105" spans="1:6" ht="15" hidden="1" customHeight="1" x14ac:dyDescent="0.25">
      <c r="A105" s="463"/>
      <c r="B105" s="13" t="s">
        <v>73</v>
      </c>
      <c r="C105" s="166">
        <v>69970</v>
      </c>
      <c r="D105" s="167">
        <v>362903</v>
      </c>
      <c r="E105" s="168">
        <f t="shared" si="6"/>
        <v>432873</v>
      </c>
      <c r="F105" s="9"/>
    </row>
    <row r="106" spans="1:6" ht="15" hidden="1" customHeight="1" x14ac:dyDescent="0.25">
      <c r="A106" s="463"/>
      <c r="B106" s="13" t="s">
        <v>76</v>
      </c>
      <c r="C106" s="166">
        <v>47879</v>
      </c>
      <c r="D106" s="167">
        <v>301864</v>
      </c>
      <c r="E106" s="168">
        <f t="shared" si="6"/>
        <v>349743</v>
      </c>
      <c r="F106" s="9"/>
    </row>
    <row r="107" spans="1:6" ht="15" hidden="1" customHeight="1" x14ac:dyDescent="0.25">
      <c r="A107" s="463"/>
      <c r="B107" s="13" t="s">
        <v>77</v>
      </c>
      <c r="C107" s="166">
        <v>42112</v>
      </c>
      <c r="D107" s="167">
        <v>324030</v>
      </c>
      <c r="E107" s="168">
        <f t="shared" si="6"/>
        <v>366142</v>
      </c>
      <c r="F107" s="9"/>
    </row>
    <row r="108" spans="1:6" ht="15" hidden="1" customHeight="1" x14ac:dyDescent="0.25">
      <c r="A108" s="463"/>
      <c r="B108" s="13" t="s">
        <v>78</v>
      </c>
      <c r="C108" s="166">
        <v>41548</v>
      </c>
      <c r="D108" s="167">
        <v>365856</v>
      </c>
      <c r="E108" s="168">
        <f t="shared" si="6"/>
        <v>407404</v>
      </c>
      <c r="F108" s="9"/>
    </row>
    <row r="109" spans="1:6" ht="15" hidden="1" customHeight="1" x14ac:dyDescent="0.25">
      <c r="A109" s="463"/>
      <c r="B109" s="13" t="s">
        <v>79</v>
      </c>
      <c r="C109" s="166">
        <v>47186</v>
      </c>
      <c r="D109" s="167">
        <v>355695</v>
      </c>
      <c r="E109" s="168">
        <f t="shared" si="6"/>
        <v>402881</v>
      </c>
      <c r="F109" s="9"/>
    </row>
    <row r="110" spans="1:6" ht="15" hidden="1" customHeight="1" x14ac:dyDescent="0.25">
      <c r="A110" s="463"/>
      <c r="B110" s="13" t="s">
        <v>81</v>
      </c>
      <c r="C110" s="166">
        <v>56632</v>
      </c>
      <c r="D110" s="167">
        <v>403938</v>
      </c>
      <c r="E110" s="168">
        <f t="shared" si="6"/>
        <v>460570</v>
      </c>
      <c r="F110" s="9"/>
    </row>
    <row r="111" spans="1:6" ht="15" hidden="1" customHeight="1" thickBot="1" x14ac:dyDescent="0.3">
      <c r="A111" s="464"/>
      <c r="B111" s="14" t="s">
        <v>82</v>
      </c>
      <c r="C111" s="169">
        <v>72161</v>
      </c>
      <c r="D111" s="170">
        <v>415689</v>
      </c>
      <c r="E111" s="171">
        <f t="shared" si="6"/>
        <v>487850</v>
      </c>
      <c r="F111" s="9"/>
    </row>
    <row r="112" spans="1:6" ht="21.75" hidden="1" customHeight="1" thickTop="1" thickBot="1" x14ac:dyDescent="0.3">
      <c r="A112" s="10"/>
      <c r="B112" s="11" t="s">
        <v>0</v>
      </c>
      <c r="C112" s="172">
        <f>SUM(C100:C111)</f>
        <v>658642</v>
      </c>
      <c r="D112" s="173">
        <v>4156900</v>
      </c>
      <c r="E112" s="174">
        <f>SUM(E100:E111)</f>
        <v>4815542</v>
      </c>
      <c r="F112" s="9"/>
    </row>
    <row r="113" spans="1:6" ht="13.5" hidden="1" customHeight="1" x14ac:dyDescent="0.25">
      <c r="A113" s="2"/>
      <c r="B113" s="7"/>
      <c r="C113" s="2"/>
      <c r="D113" s="2"/>
      <c r="E113" s="2"/>
      <c r="F113" s="15"/>
    </row>
  </sheetData>
  <mergeCells count="35">
    <mergeCell ref="E2:E3"/>
    <mergeCell ref="A4:A15"/>
    <mergeCell ref="A100:A111"/>
    <mergeCell ref="A98:B99"/>
    <mergeCell ref="C98:C99"/>
    <mergeCell ref="E98:E99"/>
    <mergeCell ref="E82:E83"/>
    <mergeCell ref="A18:B19"/>
    <mergeCell ref="C18:C19"/>
    <mergeCell ref="D18:D19"/>
    <mergeCell ref="E18:E19"/>
    <mergeCell ref="A20:A31"/>
    <mergeCell ref="E34:E35"/>
    <mergeCell ref="A36:A47"/>
    <mergeCell ref="A66:B67"/>
    <mergeCell ref="A84:A95"/>
    <mergeCell ref="A2:B3"/>
    <mergeCell ref="C2:C3"/>
    <mergeCell ref="D2:D3"/>
    <mergeCell ref="A82:B83"/>
    <mergeCell ref="A52:A63"/>
    <mergeCell ref="C50:C51"/>
    <mergeCell ref="D50:D51"/>
    <mergeCell ref="D82:D83"/>
    <mergeCell ref="A68:A79"/>
    <mergeCell ref="A34:B35"/>
    <mergeCell ref="C34:C35"/>
    <mergeCell ref="E50:E51"/>
    <mergeCell ref="A50:B51"/>
    <mergeCell ref="D34:D35"/>
    <mergeCell ref="E66:E67"/>
    <mergeCell ref="D98:D99"/>
    <mergeCell ref="C82:C83"/>
    <mergeCell ref="C66:C67"/>
    <mergeCell ref="D66:D67"/>
  </mergeCells>
  <phoneticPr fontId="2" type="noConversion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종합</vt:lpstr>
      <vt:lpstr>10월</vt:lpstr>
      <vt:lpstr> 내수</vt:lpstr>
      <vt:lpstr>⊙카메라</vt:lpstr>
      <vt:lpstr>' 내수'!Print_Area</vt:lpstr>
      <vt:lpstr>⊙카메라!Print_Area</vt:lpstr>
      <vt:lpstr>'10월'!Print_Area</vt:lpstr>
      <vt:lpstr>종합!Print_Area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황하람</dc:creator>
  <cp:lastModifiedBy>황하람</cp:lastModifiedBy>
  <cp:lastPrinted>2022-11-01T02:21:11Z</cp:lastPrinted>
  <dcterms:created xsi:type="dcterms:W3CDTF">2010-01-21T08:58:48Z</dcterms:created>
  <dcterms:modified xsi:type="dcterms:W3CDTF">2022-11-01T02:21:27Z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c787f-039f-4287-bd0c-30008109edfc_Enabled">
    <vt:lpwstr>true</vt:lpwstr>
  </property>
  <property fmtid="{D5CDD505-2E9C-101B-9397-08002B2CF9AE}" pid="3" name="MSIP_Label_425c787f-039f-4287-bd0c-30008109edfc_SetDate">
    <vt:lpwstr>2020-08-31T09:16:22Z</vt:lpwstr>
  </property>
  <property fmtid="{D5CDD505-2E9C-101B-9397-08002B2CF9AE}" pid="4" name="MSIP_Label_425c787f-039f-4287-bd0c-30008109edfc_Method">
    <vt:lpwstr>Standard</vt:lpwstr>
  </property>
  <property fmtid="{D5CDD505-2E9C-101B-9397-08002B2CF9AE}" pid="5" name="MSIP_Label_425c787f-039f-4287-bd0c-30008109edfc_Name">
    <vt:lpwstr>사내한(평문)</vt:lpwstr>
  </property>
  <property fmtid="{D5CDD505-2E9C-101B-9397-08002B2CF9AE}" pid="6" name="MSIP_Label_425c787f-039f-4287-bd0c-30008109edfc_SiteId">
    <vt:lpwstr>f85ca5f1-aa23-4252-a83a-443d333b1fe7</vt:lpwstr>
  </property>
  <property fmtid="{D5CDD505-2E9C-101B-9397-08002B2CF9AE}" pid="7" name="MSIP_Label_425c787f-039f-4287-bd0c-30008109edfc_ActionId">
    <vt:lpwstr>d29be969-3aa5-4e49-84f2-d6ae55109941</vt:lpwstr>
  </property>
  <property fmtid="{D5CDD505-2E9C-101B-9397-08002B2CF9AE}" pid="8" name="MSIP_Label_425c787f-039f-4287-bd0c-30008109edfc_ContentBits">
    <vt:lpwstr>0</vt:lpwstr>
  </property>
</Properties>
</file>