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11411\Desktop\기아 판매실적\2023년\2월\"/>
    </mc:Choice>
  </mc:AlternateContent>
  <xr:revisionPtr revIDLastSave="0" documentId="13_ncr:1_{FBC2E624-29C8-4B12-9F74-021574C41B49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종합" sheetId="1" r:id="rId1"/>
    <sheet name="국내1" sheetId="2" r:id="rId2"/>
    <sheet name="국내2" sheetId="3" r:id="rId3"/>
    <sheet name="⊙ 월별" sheetId="4" r:id="rId4"/>
  </sheets>
  <definedNames>
    <definedName name="_xlnm.Print_Area" localSheetId="3">'⊙ 월별'!$A$1:$K$31</definedName>
    <definedName name="_xlnm.Print_Area" localSheetId="1">국내1!$A$1:$K$58</definedName>
    <definedName name="_xlnm.Print_Area" localSheetId="2">국내2!$B$1:$P$54</definedName>
    <definedName name="_xlnm.Print_Area" localSheetId="0">종합!$B$2:$K$52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2" l="1"/>
  <c r="H53" i="2"/>
  <c r="H50" i="2"/>
  <c r="H40" i="2"/>
  <c r="H37" i="2"/>
  <c r="H43" i="2"/>
  <c r="K56" i="2"/>
  <c r="K53" i="2"/>
  <c r="K50" i="2"/>
  <c r="K43" i="2"/>
  <c r="K40" i="2"/>
  <c r="K37" i="2"/>
  <c r="K30" i="2"/>
  <c r="K29" i="2"/>
  <c r="K25" i="2"/>
  <c r="K26" i="2"/>
  <c r="K23" i="2"/>
  <c r="K22" i="2"/>
  <c r="K20" i="2"/>
  <c r="K19" i="2"/>
  <c r="K18" i="2"/>
  <c r="K17" i="2"/>
  <c r="K16" i="2"/>
  <c r="K15" i="2"/>
  <c r="K14" i="2"/>
  <c r="K12" i="2"/>
  <c r="K11" i="2"/>
  <c r="K10" i="2"/>
  <c r="K9" i="2"/>
  <c r="K8" i="2"/>
  <c r="K7" i="2"/>
  <c r="K6" i="2"/>
  <c r="H30" i="2"/>
  <c r="H29" i="2"/>
  <c r="H26" i="2"/>
  <c r="H25" i="2"/>
  <c r="H23" i="2"/>
  <c r="H22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G9" i="1"/>
  <c r="G8" i="1"/>
  <c r="G7" i="1"/>
  <c r="G6" i="1"/>
  <c r="D30" i="2" l="1"/>
  <c r="D29" i="2"/>
  <c r="K31" i="2"/>
  <c r="J9" i="1"/>
  <c r="J7" i="1"/>
  <c r="D7" i="1"/>
  <c r="D9" i="1"/>
  <c r="F15" i="4"/>
  <c r="I29" i="2" s="1"/>
  <c r="G15" i="4"/>
  <c r="I30" i="2" s="1"/>
  <c r="J30" i="2" s="1"/>
  <c r="E31" i="4"/>
  <c r="H20" i="4"/>
  <c r="H21" i="4"/>
  <c r="H22" i="4"/>
  <c r="H23" i="4"/>
  <c r="H24" i="4"/>
  <c r="H25" i="4"/>
  <c r="H26" i="4"/>
  <c r="H27" i="4"/>
  <c r="H28" i="4"/>
  <c r="H29" i="4"/>
  <c r="H30" i="4"/>
  <c r="H19" i="4"/>
  <c r="E20" i="4"/>
  <c r="E21" i="4"/>
  <c r="E22" i="4"/>
  <c r="E23" i="4"/>
  <c r="E24" i="4"/>
  <c r="E25" i="4"/>
  <c r="E26" i="4"/>
  <c r="E27" i="4"/>
  <c r="E28" i="4"/>
  <c r="E29" i="4"/>
  <c r="E30" i="4"/>
  <c r="E19" i="4"/>
  <c r="H4" i="4"/>
  <c r="H5" i="4"/>
  <c r="H6" i="4"/>
  <c r="H7" i="4"/>
  <c r="H8" i="4"/>
  <c r="H9" i="4"/>
  <c r="H10" i="4"/>
  <c r="H11" i="4"/>
  <c r="H12" i="4"/>
  <c r="H13" i="4"/>
  <c r="H14" i="4"/>
  <c r="H3" i="4"/>
  <c r="H31" i="4" l="1"/>
  <c r="K31" i="4" s="1"/>
  <c r="H15" i="4"/>
  <c r="J29" i="2"/>
  <c r="I31" i="2"/>
  <c r="J31" i="2" s="1"/>
  <c r="D31" i="2"/>
  <c r="D56" i="2"/>
  <c r="D53" i="2"/>
  <c r="D50" i="2"/>
  <c r="D40" i="2"/>
  <c r="D37" i="2"/>
  <c r="C30" i="4"/>
  <c r="C29" i="4"/>
  <c r="C28" i="4"/>
  <c r="C27" i="4"/>
  <c r="C26" i="4"/>
  <c r="C25" i="4"/>
  <c r="C24" i="4"/>
  <c r="C23" i="4"/>
  <c r="C22" i="4"/>
  <c r="C21" i="4"/>
  <c r="C20" i="4"/>
  <c r="C19" i="4"/>
  <c r="D82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13" i="4"/>
  <c r="C12" i="4"/>
  <c r="F24" i="3"/>
  <c r="C5" i="4" s="1"/>
  <c r="G24" i="3"/>
  <c r="C6" i="4" s="1"/>
  <c r="H24" i="3"/>
  <c r="C7" i="4" s="1"/>
  <c r="I24" i="3"/>
  <c r="C8" i="4" s="1"/>
  <c r="J24" i="3"/>
  <c r="C9" i="4" s="1"/>
  <c r="K24" i="3"/>
  <c r="C10" i="4" s="1"/>
  <c r="L24" i="3"/>
  <c r="C11" i="4" s="1"/>
  <c r="M24" i="3"/>
  <c r="N24" i="3"/>
  <c r="O24" i="3"/>
  <c r="C14" i="4" s="1"/>
  <c r="D24" i="3"/>
  <c r="C3" i="4" s="1"/>
  <c r="G26" i="2" l="1"/>
  <c r="G25" i="2"/>
  <c r="G23" i="2"/>
  <c r="G22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31" i="4"/>
  <c r="I9" i="1"/>
  <c r="K9" i="1" s="1"/>
  <c r="G27" i="2" l="1"/>
  <c r="P80" i="3"/>
  <c r="P79" i="3"/>
  <c r="E81" i="3"/>
  <c r="D20" i="4" s="1"/>
  <c r="J20" i="4" s="1"/>
  <c r="F81" i="3"/>
  <c r="D21" i="4" s="1"/>
  <c r="J21" i="4" s="1"/>
  <c r="G81" i="3"/>
  <c r="D22" i="4" s="1"/>
  <c r="J22" i="4" s="1"/>
  <c r="H81" i="3"/>
  <c r="D23" i="4" s="1"/>
  <c r="J23" i="4" s="1"/>
  <c r="I81" i="3"/>
  <c r="D24" i="4" s="1"/>
  <c r="J24" i="4" s="1"/>
  <c r="J81" i="3"/>
  <c r="D25" i="4" s="1"/>
  <c r="J25" i="4" s="1"/>
  <c r="K81" i="3"/>
  <c r="D26" i="4" s="1"/>
  <c r="J26" i="4" s="1"/>
  <c r="L81" i="3"/>
  <c r="D27" i="4" s="1"/>
  <c r="J27" i="4" s="1"/>
  <c r="M81" i="3"/>
  <c r="D28" i="4" s="1"/>
  <c r="J28" i="4" s="1"/>
  <c r="N81" i="3"/>
  <c r="D29" i="4" s="1"/>
  <c r="J29" i="4" s="1"/>
  <c r="O81" i="3"/>
  <c r="D81" i="3"/>
  <c r="D26" i="2"/>
  <c r="D25" i="2"/>
  <c r="E27" i="3"/>
  <c r="D4" i="4" s="1"/>
  <c r="F27" i="3"/>
  <c r="D5" i="4" s="1"/>
  <c r="G27" i="3"/>
  <c r="D6" i="4" s="1"/>
  <c r="H27" i="3"/>
  <c r="D7" i="4" s="1"/>
  <c r="I27" i="3"/>
  <c r="D8" i="4" s="1"/>
  <c r="J27" i="3"/>
  <c r="D9" i="4" s="1"/>
  <c r="K27" i="3"/>
  <c r="D10" i="4" s="1"/>
  <c r="L27" i="3"/>
  <c r="D11" i="4" s="1"/>
  <c r="M27" i="3"/>
  <c r="D12" i="4" s="1"/>
  <c r="N27" i="3"/>
  <c r="D13" i="4" s="1"/>
  <c r="O27" i="3"/>
  <c r="D14" i="4" s="1"/>
  <c r="D27" i="3"/>
  <c r="D3" i="4" s="1"/>
  <c r="P26" i="3"/>
  <c r="I26" i="2" s="1"/>
  <c r="P25" i="3"/>
  <c r="I25" i="2" s="1"/>
  <c r="J11" i="4" l="1"/>
  <c r="E11" i="4"/>
  <c r="J7" i="4"/>
  <c r="E7" i="4"/>
  <c r="J6" i="4"/>
  <c r="E6" i="4"/>
  <c r="J13" i="4"/>
  <c r="E13" i="4"/>
  <c r="J5" i="4"/>
  <c r="E5" i="4"/>
  <c r="J10" i="4"/>
  <c r="E10" i="4"/>
  <c r="D8" i="1"/>
  <c r="D10" i="1" s="1"/>
  <c r="E3" i="4"/>
  <c r="J14" i="4"/>
  <c r="E14" i="4"/>
  <c r="J12" i="4"/>
  <c r="E12" i="4"/>
  <c r="J4" i="4"/>
  <c r="J9" i="4"/>
  <c r="E9" i="4"/>
  <c r="J8" i="4"/>
  <c r="E8" i="4"/>
  <c r="J3" i="4"/>
  <c r="D27" i="2"/>
  <c r="D30" i="4"/>
  <c r="K27" i="2"/>
  <c r="J8" i="1" s="1"/>
  <c r="J10" i="1" s="1"/>
  <c r="D19" i="4"/>
  <c r="I27" i="2"/>
  <c r="D15" i="4"/>
  <c r="I8" i="1" s="1"/>
  <c r="P81" i="3"/>
  <c r="J26" i="2"/>
  <c r="P27" i="3"/>
  <c r="J25" i="2"/>
  <c r="E25" i="2"/>
  <c r="E26" i="2"/>
  <c r="D23" i="2"/>
  <c r="D22" i="2"/>
  <c r="D20" i="2"/>
  <c r="D19" i="2"/>
  <c r="D18" i="2"/>
  <c r="D17" i="2"/>
  <c r="D16" i="2"/>
  <c r="D15" i="2"/>
  <c r="D14" i="2"/>
  <c r="D12" i="2"/>
  <c r="D11" i="2"/>
  <c r="D10" i="2"/>
  <c r="D9" i="2"/>
  <c r="D8" i="2"/>
  <c r="D7" i="2"/>
  <c r="D6" i="2"/>
  <c r="P53" i="3"/>
  <c r="I56" i="2" s="1"/>
  <c r="O51" i="3"/>
  <c r="O52" i="3" s="1"/>
  <c r="N51" i="3"/>
  <c r="N52" i="3" s="1"/>
  <c r="M51" i="3"/>
  <c r="M52" i="3" s="1"/>
  <c r="L51" i="3"/>
  <c r="L52" i="3" s="1"/>
  <c r="K51" i="3"/>
  <c r="K52" i="3" s="1"/>
  <c r="J51" i="3"/>
  <c r="J52" i="3" s="1"/>
  <c r="I51" i="3"/>
  <c r="I52" i="3" s="1"/>
  <c r="H51" i="3"/>
  <c r="H52" i="3" s="1"/>
  <c r="G51" i="3"/>
  <c r="G52" i="3" s="1"/>
  <c r="F51" i="3"/>
  <c r="F52" i="3" s="1"/>
  <c r="E51" i="3"/>
  <c r="E52" i="3" s="1"/>
  <c r="D51" i="3"/>
  <c r="D52" i="3" s="1"/>
  <c r="P50" i="3"/>
  <c r="P49" i="3"/>
  <c r="I53" i="2" s="1"/>
  <c r="O47" i="3"/>
  <c r="O48" i="3" s="1"/>
  <c r="N47" i="3"/>
  <c r="N48" i="3" s="1"/>
  <c r="M47" i="3"/>
  <c r="M48" i="3" s="1"/>
  <c r="L47" i="3"/>
  <c r="L48" i="3" s="1"/>
  <c r="K47" i="3"/>
  <c r="K48" i="3" s="1"/>
  <c r="J47" i="3"/>
  <c r="J48" i="3" s="1"/>
  <c r="I47" i="3"/>
  <c r="I48" i="3" s="1"/>
  <c r="H47" i="3"/>
  <c r="H48" i="3" s="1"/>
  <c r="G47" i="3"/>
  <c r="G48" i="3" s="1"/>
  <c r="F47" i="3"/>
  <c r="F48" i="3" s="1"/>
  <c r="E47" i="3"/>
  <c r="E48" i="3" s="1"/>
  <c r="D47" i="3"/>
  <c r="D48" i="3" s="1"/>
  <c r="P45" i="3"/>
  <c r="I50" i="2" s="1"/>
  <c r="O43" i="3"/>
  <c r="O44" i="3" s="1"/>
  <c r="N43" i="3"/>
  <c r="N44" i="3" s="1"/>
  <c r="M43" i="3"/>
  <c r="M44" i="3" s="1"/>
  <c r="L43" i="3"/>
  <c r="L44" i="3" s="1"/>
  <c r="K43" i="3"/>
  <c r="K44" i="3" s="1"/>
  <c r="J43" i="3"/>
  <c r="J44" i="3" s="1"/>
  <c r="I43" i="3"/>
  <c r="I44" i="3" s="1"/>
  <c r="H43" i="3"/>
  <c r="H44" i="3" s="1"/>
  <c r="G43" i="3"/>
  <c r="G44" i="3" s="1"/>
  <c r="F43" i="3"/>
  <c r="F44" i="3" s="1"/>
  <c r="E43" i="3"/>
  <c r="E44" i="3" s="1"/>
  <c r="D43" i="3"/>
  <c r="D44" i="3" s="1"/>
  <c r="P41" i="3"/>
  <c r="P40" i="3"/>
  <c r="O38" i="3"/>
  <c r="O39" i="3" s="1"/>
  <c r="N38" i="3"/>
  <c r="N39" i="3" s="1"/>
  <c r="M38" i="3"/>
  <c r="M39" i="3" s="1"/>
  <c r="L38" i="3"/>
  <c r="L39" i="3" s="1"/>
  <c r="K38" i="3"/>
  <c r="K39" i="3" s="1"/>
  <c r="J38" i="3"/>
  <c r="J39" i="3" s="1"/>
  <c r="I38" i="3"/>
  <c r="I39" i="3" s="1"/>
  <c r="H38" i="3"/>
  <c r="H39" i="3" s="1"/>
  <c r="G38" i="3"/>
  <c r="G39" i="3" s="1"/>
  <c r="F38" i="3"/>
  <c r="F39" i="3" s="1"/>
  <c r="E38" i="3"/>
  <c r="E39" i="3" s="1"/>
  <c r="D43" i="2" s="1"/>
  <c r="D38" i="3"/>
  <c r="D39" i="3" s="1"/>
  <c r="P36" i="3"/>
  <c r="I40" i="2" s="1"/>
  <c r="O34" i="3"/>
  <c r="O35" i="3" s="1"/>
  <c r="N34" i="3"/>
  <c r="N35" i="3" s="1"/>
  <c r="M34" i="3"/>
  <c r="M35" i="3" s="1"/>
  <c r="L34" i="3"/>
  <c r="L35" i="3" s="1"/>
  <c r="K34" i="3"/>
  <c r="K35" i="3" s="1"/>
  <c r="J34" i="3"/>
  <c r="J35" i="3" s="1"/>
  <c r="I34" i="3"/>
  <c r="I35" i="3" s="1"/>
  <c r="H34" i="3"/>
  <c r="H35" i="3" s="1"/>
  <c r="G34" i="3"/>
  <c r="G35" i="3" s="1"/>
  <c r="F34" i="3"/>
  <c r="F35" i="3" s="1"/>
  <c r="E34" i="3"/>
  <c r="E35" i="3" s="1"/>
  <c r="D34" i="3"/>
  <c r="D35" i="3" s="1"/>
  <c r="P32" i="3"/>
  <c r="I37" i="2" s="1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D31" i="3" s="1"/>
  <c r="O23" i="3"/>
  <c r="N23" i="3"/>
  <c r="M23" i="3"/>
  <c r="L23" i="3"/>
  <c r="K23" i="3"/>
  <c r="J23" i="3"/>
  <c r="I23" i="3"/>
  <c r="H23" i="3"/>
  <c r="G23" i="3"/>
  <c r="F23" i="3"/>
  <c r="E23" i="3"/>
  <c r="D23" i="3"/>
  <c r="P22" i="3"/>
  <c r="I23" i="2" s="1"/>
  <c r="P21" i="3"/>
  <c r="I22" i="2" s="1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I20" i="2" s="1"/>
  <c r="P18" i="3"/>
  <c r="I19" i="2" s="1"/>
  <c r="P17" i="3"/>
  <c r="I18" i="2" s="1"/>
  <c r="P16" i="3"/>
  <c r="I17" i="2" s="1"/>
  <c r="P15" i="3"/>
  <c r="I16" i="2" s="1"/>
  <c r="P14" i="3"/>
  <c r="I15" i="2" s="1"/>
  <c r="P13" i="3"/>
  <c r="I14" i="2" s="1"/>
  <c r="O12" i="3"/>
  <c r="N12" i="3"/>
  <c r="N28" i="3" s="1"/>
  <c r="M12" i="3"/>
  <c r="L12" i="3"/>
  <c r="K12" i="3"/>
  <c r="J12" i="3"/>
  <c r="I12" i="3"/>
  <c r="H12" i="3"/>
  <c r="G12" i="3"/>
  <c r="F12" i="3"/>
  <c r="F28" i="3" s="1"/>
  <c r="E12" i="3"/>
  <c r="E24" i="3" s="1"/>
  <c r="C4" i="4" s="1"/>
  <c r="E4" i="4" s="1"/>
  <c r="D12" i="3"/>
  <c r="P11" i="3"/>
  <c r="I12" i="2" s="1"/>
  <c r="P10" i="3"/>
  <c r="I11" i="2" s="1"/>
  <c r="P9" i="3"/>
  <c r="P34" i="3" s="1"/>
  <c r="P8" i="3"/>
  <c r="P30" i="3" s="1"/>
  <c r="P7" i="3"/>
  <c r="I8" i="2" s="1"/>
  <c r="P6" i="3"/>
  <c r="I7" i="2" s="1"/>
  <c r="P5" i="3"/>
  <c r="I6" i="2" s="1"/>
  <c r="E15" i="4" l="1"/>
  <c r="J15" i="4"/>
  <c r="E28" i="3"/>
  <c r="M28" i="3"/>
  <c r="K8" i="1"/>
  <c r="I10" i="1"/>
  <c r="K10" i="1" s="1"/>
  <c r="O28" i="3"/>
  <c r="G28" i="3"/>
  <c r="I28" i="3"/>
  <c r="H28" i="3"/>
  <c r="I7" i="4" s="1"/>
  <c r="K7" i="4" s="1"/>
  <c r="J28" i="3"/>
  <c r="I9" i="4" s="1"/>
  <c r="K9" i="4" s="1"/>
  <c r="K28" i="3"/>
  <c r="I10" i="4" s="1"/>
  <c r="K10" i="4" s="1"/>
  <c r="L28" i="3"/>
  <c r="I11" i="4" s="1"/>
  <c r="K11" i="4" s="1"/>
  <c r="E27" i="2"/>
  <c r="D28" i="3"/>
  <c r="J30" i="4"/>
  <c r="J27" i="2"/>
  <c r="J19" i="4"/>
  <c r="D31" i="4"/>
  <c r="J31" i="4" s="1"/>
  <c r="I12" i="4"/>
  <c r="K12" i="4" s="1"/>
  <c r="I9" i="2"/>
  <c r="I44" i="2"/>
  <c r="I10" i="2"/>
  <c r="I7" i="1"/>
  <c r="P23" i="3"/>
  <c r="I13" i="4"/>
  <c r="K13" i="4" s="1"/>
  <c r="I5" i="4"/>
  <c r="K5" i="4" s="1"/>
  <c r="P44" i="3"/>
  <c r="I4" i="4"/>
  <c r="K4" i="4" s="1"/>
  <c r="I6" i="4"/>
  <c r="K6" i="4" s="1"/>
  <c r="I14" i="4"/>
  <c r="K14" i="4" s="1"/>
  <c r="I8" i="4"/>
  <c r="K8" i="4" s="1"/>
  <c r="P20" i="3"/>
  <c r="P12" i="3"/>
  <c r="P31" i="3"/>
  <c r="P52" i="3"/>
  <c r="P39" i="3"/>
  <c r="I43" i="2" s="1"/>
  <c r="P35" i="3"/>
  <c r="P48" i="3"/>
  <c r="P51" i="3"/>
  <c r="P43" i="3"/>
  <c r="P47" i="3"/>
  <c r="P38" i="3"/>
  <c r="P24" i="3" l="1"/>
  <c r="D6" i="1"/>
  <c r="D11" i="1" s="1"/>
  <c r="P28" i="3"/>
  <c r="I3" i="4"/>
  <c r="C15" i="4"/>
  <c r="I6" i="1" s="1"/>
  <c r="I11" i="1" s="1"/>
  <c r="K55" i="2"/>
  <c r="K52" i="2"/>
  <c r="K46" i="2"/>
  <c r="K47" i="2" s="1"/>
  <c r="K42" i="2"/>
  <c r="K39" i="2"/>
  <c r="K36" i="2"/>
  <c r="K49" i="2"/>
  <c r="P95" i="3"/>
  <c r="C302" i="4"/>
  <c r="I302" i="4" s="1"/>
  <c r="C301" i="4"/>
  <c r="I301" i="4" s="1"/>
  <c r="C300" i="4"/>
  <c r="I300" i="4" s="1"/>
  <c r="C299" i="4"/>
  <c r="I299" i="4" s="1"/>
  <c r="C298" i="4"/>
  <c r="I298" i="4" s="1"/>
  <c r="C297" i="4"/>
  <c r="I297" i="4" s="1"/>
  <c r="C296" i="4"/>
  <c r="I296" i="4" s="1"/>
  <c r="C295" i="4"/>
  <c r="I295" i="4" s="1"/>
  <c r="C294" i="4"/>
  <c r="C293" i="4"/>
  <c r="I293" i="4" s="1"/>
  <c r="C292" i="4"/>
  <c r="I292" i="4" s="1"/>
  <c r="C291" i="4"/>
  <c r="I291" i="4" s="1"/>
  <c r="F303" i="4"/>
  <c r="F287" i="4"/>
  <c r="F271" i="4"/>
  <c r="F255" i="4"/>
  <c r="F239" i="4"/>
  <c r="F223" i="4"/>
  <c r="F207" i="4"/>
  <c r="F191" i="4"/>
  <c r="F175" i="4"/>
  <c r="F159" i="4"/>
  <c r="F143" i="4"/>
  <c r="F127" i="4"/>
  <c r="F111" i="4"/>
  <c r="F95" i="4"/>
  <c r="F79" i="4"/>
  <c r="F63" i="4"/>
  <c r="G52" i="2"/>
  <c r="G49" i="2"/>
  <c r="G46" i="2"/>
  <c r="G47" i="2" s="1"/>
  <c r="G42" i="2"/>
  <c r="G39" i="2"/>
  <c r="G36" i="2"/>
  <c r="E23" i="2"/>
  <c r="D55" i="2"/>
  <c r="D52" i="2"/>
  <c r="D42" i="2"/>
  <c r="D36" i="2"/>
  <c r="D39" i="2"/>
  <c r="F31" i="4"/>
  <c r="D153" i="3"/>
  <c r="D154" i="3" s="1"/>
  <c r="E153" i="3"/>
  <c r="F153" i="3"/>
  <c r="F154" i="3" s="1"/>
  <c r="G153" i="3"/>
  <c r="H153" i="3"/>
  <c r="H154" i="3"/>
  <c r="I153" i="3"/>
  <c r="I154" i="3" s="1"/>
  <c r="J153" i="3"/>
  <c r="J154" i="3" s="1"/>
  <c r="K153" i="3"/>
  <c r="K154" i="3" s="1"/>
  <c r="L153" i="3"/>
  <c r="L154" i="3" s="1"/>
  <c r="M153" i="3"/>
  <c r="M154" i="3" s="1"/>
  <c r="N153" i="3"/>
  <c r="N154" i="3" s="1"/>
  <c r="O153" i="3"/>
  <c r="O154" i="3" s="1"/>
  <c r="P155" i="3"/>
  <c r="P107" i="3"/>
  <c r="J56" i="2" s="1"/>
  <c r="O105" i="3"/>
  <c r="O106" i="3" s="1"/>
  <c r="N105" i="3"/>
  <c r="N106" i="3" s="1"/>
  <c r="M105" i="3"/>
  <c r="M106" i="3" s="1"/>
  <c r="L105" i="3"/>
  <c r="L106" i="3" s="1"/>
  <c r="K105" i="3"/>
  <c r="K106" i="3" s="1"/>
  <c r="J105" i="3"/>
  <c r="J106" i="3" s="1"/>
  <c r="I105" i="3"/>
  <c r="I106" i="3" s="1"/>
  <c r="H105" i="3"/>
  <c r="H106" i="3" s="1"/>
  <c r="G105" i="3"/>
  <c r="G106" i="3" s="1"/>
  <c r="F105" i="3"/>
  <c r="F106" i="3" s="1"/>
  <c r="E105" i="3"/>
  <c r="E106" i="3" s="1"/>
  <c r="D105" i="3"/>
  <c r="D106" i="3" s="1"/>
  <c r="P104" i="3"/>
  <c r="P103" i="3"/>
  <c r="J53" i="2" s="1"/>
  <c r="O101" i="3"/>
  <c r="O102" i="3" s="1"/>
  <c r="N101" i="3"/>
  <c r="N102" i="3" s="1"/>
  <c r="M101" i="3"/>
  <c r="L101" i="3"/>
  <c r="L102" i="3" s="1"/>
  <c r="K101" i="3"/>
  <c r="K102" i="3" s="1"/>
  <c r="J101" i="3"/>
  <c r="J102" i="3" s="1"/>
  <c r="I101" i="3"/>
  <c r="I102" i="3" s="1"/>
  <c r="H101" i="3"/>
  <c r="H102" i="3" s="1"/>
  <c r="G101" i="3"/>
  <c r="G102" i="3" s="1"/>
  <c r="F101" i="3"/>
  <c r="F102" i="3" s="1"/>
  <c r="E101" i="3"/>
  <c r="E102" i="3" s="1"/>
  <c r="D101" i="3"/>
  <c r="P99" i="3"/>
  <c r="J50" i="2" s="1"/>
  <c r="O97" i="3"/>
  <c r="O98" i="3" s="1"/>
  <c r="N97" i="3"/>
  <c r="N98" i="3" s="1"/>
  <c r="M97" i="3"/>
  <c r="M98" i="3" s="1"/>
  <c r="L97" i="3"/>
  <c r="L98" i="3" s="1"/>
  <c r="K97" i="3"/>
  <c r="K98" i="3" s="1"/>
  <c r="J97" i="3"/>
  <c r="J98" i="3" s="1"/>
  <c r="I97" i="3"/>
  <c r="I98" i="3" s="1"/>
  <c r="H97" i="3"/>
  <c r="H98" i="3" s="1"/>
  <c r="G97" i="3"/>
  <c r="G98" i="3" s="1"/>
  <c r="F97" i="3"/>
  <c r="F98" i="3" s="1"/>
  <c r="E97" i="3"/>
  <c r="E98" i="3" s="1"/>
  <c r="D97" i="3"/>
  <c r="D98" i="3" s="1"/>
  <c r="P94" i="3"/>
  <c r="O92" i="3"/>
  <c r="O93" i="3" s="1"/>
  <c r="N92" i="3"/>
  <c r="N93" i="3" s="1"/>
  <c r="M92" i="3"/>
  <c r="M93" i="3" s="1"/>
  <c r="L92" i="3"/>
  <c r="L93" i="3" s="1"/>
  <c r="K92" i="3"/>
  <c r="K93" i="3" s="1"/>
  <c r="J92" i="3"/>
  <c r="J93" i="3" s="1"/>
  <c r="I92" i="3"/>
  <c r="I93" i="3" s="1"/>
  <c r="H92" i="3"/>
  <c r="H93" i="3" s="1"/>
  <c r="G92" i="3"/>
  <c r="G93" i="3" s="1"/>
  <c r="F92" i="3"/>
  <c r="F93" i="3" s="1"/>
  <c r="E92" i="3"/>
  <c r="E93" i="3" s="1"/>
  <c r="D92" i="3"/>
  <c r="D93" i="3" s="1"/>
  <c r="P90" i="3"/>
  <c r="J40" i="2" s="1"/>
  <c r="O88" i="3"/>
  <c r="O89" i="3" s="1"/>
  <c r="N88" i="3"/>
  <c r="N89" i="3" s="1"/>
  <c r="M88" i="3"/>
  <c r="M89" i="3" s="1"/>
  <c r="L88" i="3"/>
  <c r="L89" i="3" s="1"/>
  <c r="K88" i="3"/>
  <c r="K89" i="3" s="1"/>
  <c r="J88" i="3"/>
  <c r="J89" i="3" s="1"/>
  <c r="I88" i="3"/>
  <c r="I89" i="3" s="1"/>
  <c r="H88" i="3"/>
  <c r="H89" i="3" s="1"/>
  <c r="G88" i="3"/>
  <c r="G89" i="3" s="1"/>
  <c r="F88" i="3"/>
  <c r="F89" i="3" s="1"/>
  <c r="E88" i="3"/>
  <c r="E89" i="3" s="1"/>
  <c r="D88" i="3"/>
  <c r="D89" i="3" s="1"/>
  <c r="P86" i="3"/>
  <c r="J37" i="2" s="1"/>
  <c r="O84" i="3"/>
  <c r="O85" i="3" s="1"/>
  <c r="N84" i="3"/>
  <c r="N85" i="3" s="1"/>
  <c r="M84" i="3"/>
  <c r="M85" i="3" s="1"/>
  <c r="L84" i="3"/>
  <c r="L85" i="3" s="1"/>
  <c r="K84" i="3"/>
  <c r="K85" i="3" s="1"/>
  <c r="J84" i="3"/>
  <c r="J85" i="3" s="1"/>
  <c r="I84" i="3"/>
  <c r="I85" i="3" s="1"/>
  <c r="H84" i="3"/>
  <c r="H85" i="3" s="1"/>
  <c r="G84" i="3"/>
  <c r="G85" i="3" s="1"/>
  <c r="F84" i="3"/>
  <c r="F85" i="3" s="1"/>
  <c r="E84" i="3"/>
  <c r="E85" i="3" s="1"/>
  <c r="D84" i="3"/>
  <c r="D85" i="3" s="1"/>
  <c r="O77" i="3"/>
  <c r="N77" i="3"/>
  <c r="M77" i="3"/>
  <c r="L77" i="3"/>
  <c r="K77" i="3"/>
  <c r="J77" i="3"/>
  <c r="I77" i="3"/>
  <c r="H77" i="3"/>
  <c r="G77" i="3"/>
  <c r="F77" i="3"/>
  <c r="E77" i="3"/>
  <c r="D77" i="3"/>
  <c r="P76" i="3"/>
  <c r="J23" i="2" s="1"/>
  <c r="P75" i="3"/>
  <c r="I55" i="2" s="1"/>
  <c r="O74" i="3"/>
  <c r="N74" i="3"/>
  <c r="M74" i="3"/>
  <c r="L74" i="3"/>
  <c r="K74" i="3"/>
  <c r="J74" i="3"/>
  <c r="I74" i="3"/>
  <c r="H74" i="3"/>
  <c r="G74" i="3"/>
  <c r="F74" i="3"/>
  <c r="E74" i="3"/>
  <c r="D74" i="3"/>
  <c r="P73" i="3"/>
  <c r="J20" i="2" s="1"/>
  <c r="P72" i="3"/>
  <c r="J19" i="2" s="1"/>
  <c r="P71" i="3"/>
  <c r="I52" i="2" s="1"/>
  <c r="P70" i="3"/>
  <c r="P69" i="3"/>
  <c r="J16" i="2" s="1"/>
  <c r="P68" i="3"/>
  <c r="P67" i="3"/>
  <c r="O66" i="3"/>
  <c r="N66" i="3"/>
  <c r="N82" i="3" s="1"/>
  <c r="M66" i="3"/>
  <c r="M82" i="3" s="1"/>
  <c r="L66" i="3"/>
  <c r="K66" i="3"/>
  <c r="J66" i="3"/>
  <c r="I66" i="3"/>
  <c r="H66" i="3"/>
  <c r="G66" i="3"/>
  <c r="F66" i="3"/>
  <c r="F82" i="3" s="1"/>
  <c r="E66" i="3"/>
  <c r="E82" i="3" s="1"/>
  <c r="D66" i="3"/>
  <c r="P65" i="3"/>
  <c r="J12" i="2" s="1"/>
  <c r="P64" i="3"/>
  <c r="J11" i="2" s="1"/>
  <c r="P63" i="3"/>
  <c r="P88" i="3" s="1"/>
  <c r="P62" i="3"/>
  <c r="P84" i="3" s="1"/>
  <c r="P61" i="3"/>
  <c r="J8" i="2"/>
  <c r="P60" i="3"/>
  <c r="J7" i="2" s="1"/>
  <c r="P59" i="3"/>
  <c r="J6" i="2"/>
  <c r="N119" i="3"/>
  <c r="P123" i="3"/>
  <c r="E157" i="3"/>
  <c r="E158" i="3" s="1"/>
  <c r="F157" i="3"/>
  <c r="F158" i="3" s="1"/>
  <c r="G157" i="3"/>
  <c r="G158" i="3" s="1"/>
  <c r="H157" i="3"/>
  <c r="H158" i="3" s="1"/>
  <c r="I157" i="3"/>
  <c r="I158" i="3" s="1"/>
  <c r="J157" i="3"/>
  <c r="J158" i="3" s="1"/>
  <c r="K157" i="3"/>
  <c r="K158" i="3" s="1"/>
  <c r="L157" i="3"/>
  <c r="L158" i="3" s="1"/>
  <c r="M157" i="3"/>
  <c r="M159" i="3"/>
  <c r="N157" i="3"/>
  <c r="N159" i="3" s="1"/>
  <c r="O157" i="3"/>
  <c r="O159" i="3" s="1"/>
  <c r="D157" i="3"/>
  <c r="D158" i="3" s="1"/>
  <c r="P160" i="3"/>
  <c r="I129" i="3"/>
  <c r="P145" i="3"/>
  <c r="P165" i="3"/>
  <c r="D119" i="3"/>
  <c r="F47" i="4"/>
  <c r="M162" i="3"/>
  <c r="M163" i="3" s="1"/>
  <c r="P168" i="3"/>
  <c r="O166" i="3"/>
  <c r="O167" i="3" s="1"/>
  <c r="N166" i="3"/>
  <c r="N167" i="3" s="1"/>
  <c r="M166" i="3"/>
  <c r="M167" i="3" s="1"/>
  <c r="L166" i="3"/>
  <c r="L167" i="3"/>
  <c r="K166" i="3"/>
  <c r="K167" i="3"/>
  <c r="J166" i="3"/>
  <c r="J167" i="3" s="1"/>
  <c r="I166" i="3"/>
  <c r="I167" i="3" s="1"/>
  <c r="H166" i="3"/>
  <c r="H167" i="3" s="1"/>
  <c r="G166" i="3"/>
  <c r="G167" i="3" s="1"/>
  <c r="F166" i="3"/>
  <c r="F167" i="3"/>
  <c r="E166" i="3"/>
  <c r="E167" i="3" s="1"/>
  <c r="D166" i="3"/>
  <c r="D167" i="3"/>
  <c r="P164" i="3"/>
  <c r="O162" i="3"/>
  <c r="O163" i="3" s="1"/>
  <c r="N162" i="3"/>
  <c r="N163" i="3" s="1"/>
  <c r="L162" i="3"/>
  <c r="K162" i="3"/>
  <c r="K163" i="3" s="1"/>
  <c r="J162" i="3"/>
  <c r="J163" i="3" s="1"/>
  <c r="I162" i="3"/>
  <c r="I163" i="3" s="1"/>
  <c r="H162" i="3"/>
  <c r="H163" i="3" s="1"/>
  <c r="G162" i="3"/>
  <c r="F162" i="3"/>
  <c r="F163" i="3" s="1"/>
  <c r="E162" i="3"/>
  <c r="E163" i="3" s="1"/>
  <c r="D162" i="3"/>
  <c r="D163" i="3" s="1"/>
  <c r="P151" i="3"/>
  <c r="O149" i="3"/>
  <c r="O150" i="3" s="1"/>
  <c r="N149" i="3"/>
  <c r="N150" i="3" s="1"/>
  <c r="M149" i="3"/>
  <c r="M150" i="3" s="1"/>
  <c r="L149" i="3"/>
  <c r="L150" i="3" s="1"/>
  <c r="K149" i="3"/>
  <c r="K150" i="3" s="1"/>
  <c r="J149" i="3"/>
  <c r="I149" i="3"/>
  <c r="I150" i="3" s="1"/>
  <c r="H149" i="3"/>
  <c r="H150" i="3" s="1"/>
  <c r="G149" i="3"/>
  <c r="G150" i="3" s="1"/>
  <c r="F149" i="3"/>
  <c r="F150" i="3" s="1"/>
  <c r="E149" i="3"/>
  <c r="E150" i="3" s="1"/>
  <c r="D149" i="3"/>
  <c r="D150" i="3" s="1"/>
  <c r="P147" i="3"/>
  <c r="O143" i="3"/>
  <c r="O144" i="3" s="1"/>
  <c r="N143" i="3"/>
  <c r="N144" i="3" s="1"/>
  <c r="M143" i="3"/>
  <c r="M144" i="3" s="1"/>
  <c r="L143" i="3"/>
  <c r="L144" i="3" s="1"/>
  <c r="K143" i="3"/>
  <c r="K144" i="3" s="1"/>
  <c r="J143" i="3"/>
  <c r="J144" i="3" s="1"/>
  <c r="I143" i="3"/>
  <c r="I144" i="3" s="1"/>
  <c r="H143" i="3"/>
  <c r="H146" i="3" s="1"/>
  <c r="G143" i="3"/>
  <c r="F143" i="3"/>
  <c r="F146" i="3" s="1"/>
  <c r="E143" i="3"/>
  <c r="E146" i="3" s="1"/>
  <c r="D143" i="3"/>
  <c r="D146" i="3" s="1"/>
  <c r="P141" i="3"/>
  <c r="P139" i="3"/>
  <c r="P138" i="3"/>
  <c r="O137" i="3"/>
  <c r="N137" i="3"/>
  <c r="M137" i="3"/>
  <c r="L137" i="3"/>
  <c r="K137" i="3"/>
  <c r="J137" i="3"/>
  <c r="I137" i="3"/>
  <c r="H137" i="3"/>
  <c r="G137" i="3"/>
  <c r="G140" i="3" s="1"/>
  <c r="P140" i="3" s="1"/>
  <c r="F137" i="3"/>
  <c r="E137" i="3"/>
  <c r="D137" i="3"/>
  <c r="O133" i="3"/>
  <c r="O134" i="3" s="1"/>
  <c r="C46" i="4" s="1"/>
  <c r="I46" i="4" s="1"/>
  <c r="N133" i="3"/>
  <c r="M133" i="3"/>
  <c r="L133" i="3"/>
  <c r="K133" i="3"/>
  <c r="J133" i="3"/>
  <c r="I133" i="3"/>
  <c r="H133" i="3"/>
  <c r="G133" i="3"/>
  <c r="F133" i="3"/>
  <c r="F134" i="3" s="1"/>
  <c r="C37" i="4" s="1"/>
  <c r="I37" i="4" s="1"/>
  <c r="E133" i="3"/>
  <c r="D133" i="3"/>
  <c r="P132" i="3"/>
  <c r="P131" i="3"/>
  <c r="P130" i="3"/>
  <c r="O129" i="3"/>
  <c r="N129" i="3"/>
  <c r="M129" i="3"/>
  <c r="L129" i="3"/>
  <c r="K129" i="3"/>
  <c r="J129" i="3"/>
  <c r="H129" i="3"/>
  <c r="G129" i="3"/>
  <c r="F129" i="3"/>
  <c r="E129" i="3"/>
  <c r="D129" i="3"/>
  <c r="D134" i="3" s="1"/>
  <c r="C35" i="4" s="1"/>
  <c r="I35" i="4" s="1"/>
  <c r="P128" i="3"/>
  <c r="P127" i="3"/>
  <c r="P126" i="3"/>
  <c r="P125" i="3"/>
  <c r="P124" i="3"/>
  <c r="P122" i="3"/>
  <c r="P121" i="3"/>
  <c r="P120" i="3"/>
  <c r="P129" i="3" s="1"/>
  <c r="O119" i="3"/>
  <c r="M119" i="3"/>
  <c r="L119" i="3"/>
  <c r="L134" i="3" s="1"/>
  <c r="C43" i="4" s="1"/>
  <c r="I43" i="4" s="1"/>
  <c r="K119" i="3"/>
  <c r="J119" i="3"/>
  <c r="I119" i="3"/>
  <c r="H119" i="3"/>
  <c r="H134" i="3" s="1"/>
  <c r="C39" i="4" s="1"/>
  <c r="I39" i="4" s="1"/>
  <c r="G119" i="3"/>
  <c r="G134" i="3" s="1"/>
  <c r="C38" i="4" s="1"/>
  <c r="I38" i="4" s="1"/>
  <c r="F119" i="3"/>
  <c r="E119" i="3"/>
  <c r="P118" i="3"/>
  <c r="P117" i="3"/>
  <c r="P116" i="3"/>
  <c r="P143" i="3" s="1"/>
  <c r="P115" i="3"/>
  <c r="P137" i="3" s="1"/>
  <c r="P114" i="3"/>
  <c r="P113" i="3"/>
  <c r="P112" i="3"/>
  <c r="P913" i="3"/>
  <c r="O913" i="3"/>
  <c r="N913" i="3"/>
  <c r="M913" i="3"/>
  <c r="L913" i="3"/>
  <c r="K913" i="3"/>
  <c r="J913" i="3"/>
  <c r="I913" i="3"/>
  <c r="H913" i="3"/>
  <c r="G913" i="3"/>
  <c r="F913" i="3"/>
  <c r="D912" i="3"/>
  <c r="D911" i="3"/>
  <c r="D910" i="3"/>
  <c r="D909" i="3"/>
  <c r="D913" i="3" s="1"/>
  <c r="P907" i="3"/>
  <c r="O907" i="3"/>
  <c r="N907" i="3"/>
  <c r="M907" i="3"/>
  <c r="L907" i="3"/>
  <c r="K907" i="3"/>
  <c r="J907" i="3"/>
  <c r="I907" i="3"/>
  <c r="H907" i="3"/>
  <c r="G907" i="3"/>
  <c r="F907" i="3"/>
  <c r="E907" i="3"/>
  <c r="D906" i="3"/>
  <c r="D905" i="3"/>
  <c r="D904" i="3"/>
  <c r="D903" i="3"/>
  <c r="D907" i="3" s="1"/>
  <c r="P902" i="3"/>
  <c r="O902" i="3"/>
  <c r="N902" i="3"/>
  <c r="M902" i="3"/>
  <c r="L902" i="3"/>
  <c r="K902" i="3"/>
  <c r="J902" i="3"/>
  <c r="I902" i="3"/>
  <c r="H902" i="3"/>
  <c r="G902" i="3"/>
  <c r="E901" i="3"/>
  <c r="D900" i="3"/>
  <c r="P899" i="3"/>
  <c r="P901" i="3" s="1"/>
  <c r="O899" i="3"/>
  <c r="O901" i="3" s="1"/>
  <c r="N899" i="3"/>
  <c r="N901" i="3" s="1"/>
  <c r="M899" i="3"/>
  <c r="M901" i="3" s="1"/>
  <c r="L899" i="3"/>
  <c r="L901" i="3" s="1"/>
  <c r="K899" i="3"/>
  <c r="K901" i="3" s="1"/>
  <c r="J899" i="3"/>
  <c r="J901" i="3" s="1"/>
  <c r="I899" i="3"/>
  <c r="I901" i="3" s="1"/>
  <c r="H899" i="3"/>
  <c r="H901" i="3" s="1"/>
  <c r="G899" i="3"/>
  <c r="G901" i="3" s="1"/>
  <c r="F899" i="3"/>
  <c r="F901" i="3" s="1"/>
  <c r="D898" i="3"/>
  <c r="D897" i="3"/>
  <c r="D896" i="3"/>
  <c r="D895" i="3"/>
  <c r="D894" i="3"/>
  <c r="D893" i="3"/>
  <c r="E892" i="3"/>
  <c r="D891" i="3"/>
  <c r="D890" i="3"/>
  <c r="M889" i="3"/>
  <c r="F889" i="3"/>
  <c r="D888" i="3"/>
  <c r="D887" i="3"/>
  <c r="M886" i="3"/>
  <c r="D886" i="3" s="1"/>
  <c r="P885" i="3"/>
  <c r="P892" i="3" s="1"/>
  <c r="O885" i="3"/>
  <c r="O892" i="3" s="1"/>
  <c r="N885" i="3"/>
  <c r="N892" i="3" s="1"/>
  <c r="M885" i="3"/>
  <c r="L885" i="3"/>
  <c r="L892" i="3" s="1"/>
  <c r="K885" i="3"/>
  <c r="K892" i="3" s="1"/>
  <c r="J885" i="3"/>
  <c r="J892" i="3" s="1"/>
  <c r="I885" i="3"/>
  <c r="I892" i="3" s="1"/>
  <c r="H885" i="3"/>
  <c r="G885" i="3"/>
  <c r="G892" i="3" s="1"/>
  <c r="F885" i="3"/>
  <c r="P884" i="3"/>
  <c r="O884" i="3"/>
  <c r="N884" i="3"/>
  <c r="M884" i="3"/>
  <c r="L884" i="3"/>
  <c r="K884" i="3"/>
  <c r="J884" i="3"/>
  <c r="I884" i="3"/>
  <c r="H884" i="3"/>
  <c r="F884" i="3"/>
  <c r="E884" i="3"/>
  <c r="G883" i="3"/>
  <c r="D883" i="3" s="1"/>
  <c r="D882" i="3"/>
  <c r="D881" i="3"/>
  <c r="D880" i="3"/>
  <c r="O879" i="3"/>
  <c r="N879" i="3"/>
  <c r="M879" i="3"/>
  <c r="L879" i="3"/>
  <c r="K879" i="3"/>
  <c r="J879" i="3"/>
  <c r="I879" i="3"/>
  <c r="H879" i="3"/>
  <c r="G879" i="3"/>
  <c r="F879" i="3"/>
  <c r="E879" i="3"/>
  <c r="D878" i="3"/>
  <c r="D877" i="3"/>
  <c r="P876" i="3"/>
  <c r="D876" i="3" s="1"/>
  <c r="D875" i="3"/>
  <c r="D874" i="3"/>
  <c r="D873" i="3"/>
  <c r="D872" i="3"/>
  <c r="D871" i="3"/>
  <c r="D870" i="3"/>
  <c r="D869" i="3"/>
  <c r="P863" i="3"/>
  <c r="O863" i="3"/>
  <c r="N863" i="3"/>
  <c r="M863" i="3"/>
  <c r="L863" i="3"/>
  <c r="K863" i="3"/>
  <c r="J863" i="3"/>
  <c r="I863" i="3"/>
  <c r="H863" i="3"/>
  <c r="G863" i="3"/>
  <c r="F863" i="3"/>
  <c r="D862" i="3"/>
  <c r="D861" i="3"/>
  <c r="D859" i="3"/>
  <c r="D858" i="3"/>
  <c r="D857" i="3"/>
  <c r="D856" i="3"/>
  <c r="D855" i="3"/>
  <c r="P853" i="3"/>
  <c r="O853" i="3"/>
  <c r="N853" i="3"/>
  <c r="M853" i="3"/>
  <c r="L853" i="3"/>
  <c r="K853" i="3"/>
  <c r="I853" i="3"/>
  <c r="H853" i="3"/>
  <c r="G853" i="3"/>
  <c r="F853" i="3"/>
  <c r="E853" i="3"/>
  <c r="J852" i="3"/>
  <c r="J851" i="3"/>
  <c r="I851" i="3"/>
  <c r="H851" i="3"/>
  <c r="F851" i="3"/>
  <c r="P850" i="3"/>
  <c r="O850" i="3"/>
  <c r="N850" i="3"/>
  <c r="M850" i="3"/>
  <c r="L850" i="3"/>
  <c r="K850" i="3"/>
  <c r="E850" i="3"/>
  <c r="D849" i="3"/>
  <c r="J848" i="3"/>
  <c r="J850" i="3" s="1"/>
  <c r="I848" i="3"/>
  <c r="H848" i="3"/>
  <c r="G848" i="3"/>
  <c r="G850" i="3" s="1"/>
  <c r="F848" i="3"/>
  <c r="D847" i="3"/>
  <c r="D846" i="3"/>
  <c r="D845" i="3"/>
  <c r="H844" i="3"/>
  <c r="F844" i="3"/>
  <c r="D843" i="3"/>
  <c r="P842" i="3"/>
  <c r="O842" i="3"/>
  <c r="N842" i="3"/>
  <c r="M842" i="3"/>
  <c r="L842" i="3"/>
  <c r="K842" i="3"/>
  <c r="E842" i="3"/>
  <c r="F841" i="3"/>
  <c r="D841" i="3" s="1"/>
  <c r="D840" i="3"/>
  <c r="D839" i="3"/>
  <c r="J838" i="3"/>
  <c r="J842" i="3" s="1"/>
  <c r="I838" i="3"/>
  <c r="I842" i="3"/>
  <c r="H838" i="3"/>
  <c r="H842" i="3" s="1"/>
  <c r="G838" i="3"/>
  <c r="G842" i="3" s="1"/>
  <c r="F838" i="3"/>
  <c r="P837" i="3"/>
  <c r="O837" i="3"/>
  <c r="N837" i="3"/>
  <c r="M837" i="3"/>
  <c r="L837" i="3"/>
  <c r="L854" i="3" s="1"/>
  <c r="K837" i="3"/>
  <c r="J837" i="3"/>
  <c r="I837" i="3"/>
  <c r="H837" i="3"/>
  <c r="G837" i="3"/>
  <c r="F837" i="3"/>
  <c r="E837" i="3"/>
  <c r="D836" i="3"/>
  <c r="D835" i="3"/>
  <c r="D834" i="3"/>
  <c r="D833" i="3"/>
  <c r="D832" i="3"/>
  <c r="P831" i="3"/>
  <c r="O831" i="3"/>
  <c r="N831" i="3"/>
  <c r="M831" i="3"/>
  <c r="M854" i="3" s="1"/>
  <c r="L831" i="3"/>
  <c r="K831" i="3"/>
  <c r="J831" i="3"/>
  <c r="I831" i="3"/>
  <c r="H831" i="3"/>
  <c r="G831" i="3"/>
  <c r="F831" i="3"/>
  <c r="E831" i="3"/>
  <c r="D830" i="3"/>
  <c r="D829" i="3"/>
  <c r="D828" i="3"/>
  <c r="D827" i="3"/>
  <c r="D826" i="3"/>
  <c r="D825" i="3"/>
  <c r="D824" i="3"/>
  <c r="D818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6" i="3"/>
  <c r="D815" i="3"/>
  <c r="D814" i="3"/>
  <c r="D813" i="3"/>
  <c r="D812" i="3"/>
  <c r="D811" i="3"/>
  <c r="D810" i="3"/>
  <c r="D809" i="3"/>
  <c r="D808" i="3"/>
  <c r="D807" i="3"/>
  <c r="D806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4" i="3"/>
  <c r="D803" i="3"/>
  <c r="D802" i="3"/>
  <c r="D801" i="3"/>
  <c r="D800" i="3"/>
  <c r="D799" i="3"/>
  <c r="P798" i="3"/>
  <c r="O798" i="3"/>
  <c r="N798" i="3"/>
  <c r="M798" i="3"/>
  <c r="L798" i="3"/>
  <c r="K798" i="3"/>
  <c r="J798" i="3"/>
  <c r="I798" i="3"/>
  <c r="H798" i="3"/>
  <c r="H819" i="3" s="1"/>
  <c r="G798" i="3"/>
  <c r="F798" i="3"/>
  <c r="E798" i="3"/>
  <c r="D797" i="3"/>
  <c r="D796" i="3"/>
  <c r="D795" i="3"/>
  <c r="D794" i="3"/>
  <c r="D793" i="3"/>
  <c r="D792" i="3"/>
  <c r="D791" i="3"/>
  <c r="D790" i="3"/>
  <c r="D784" i="3"/>
  <c r="P783" i="3"/>
  <c r="O783" i="3"/>
  <c r="N783" i="3"/>
  <c r="L783" i="3"/>
  <c r="K783" i="3"/>
  <c r="D782" i="3"/>
  <c r="D781" i="3"/>
  <c r="D780" i="3"/>
  <c r="D779" i="3"/>
  <c r="D778" i="3"/>
  <c r="D777" i="3"/>
  <c r="M776" i="3"/>
  <c r="J776" i="3"/>
  <c r="J783" i="3"/>
  <c r="I776" i="3"/>
  <c r="I783" i="3" s="1"/>
  <c r="H776" i="3"/>
  <c r="H783" i="3" s="1"/>
  <c r="G776" i="3"/>
  <c r="G783" i="3" s="1"/>
  <c r="F776" i="3"/>
  <c r="E776" i="3"/>
  <c r="E783" i="3" s="1"/>
  <c r="M775" i="3"/>
  <c r="D775" i="3" s="1"/>
  <c r="P774" i="3"/>
  <c r="O774" i="3"/>
  <c r="N774" i="3"/>
  <c r="M774" i="3"/>
  <c r="L774" i="3"/>
  <c r="K774" i="3"/>
  <c r="J774" i="3"/>
  <c r="I774" i="3"/>
  <c r="H774" i="3"/>
  <c r="G774" i="3"/>
  <c r="F774" i="3"/>
  <c r="E774" i="3"/>
  <c r="D772" i="3"/>
  <c r="D771" i="3"/>
  <c r="D770" i="3"/>
  <c r="D769" i="3"/>
  <c r="P768" i="3"/>
  <c r="O768" i="3"/>
  <c r="N768" i="3"/>
  <c r="N785" i="3" s="1"/>
  <c r="M768" i="3"/>
  <c r="L768" i="3"/>
  <c r="K768" i="3"/>
  <c r="J768" i="3"/>
  <c r="I768" i="3"/>
  <c r="H768" i="3"/>
  <c r="G768" i="3"/>
  <c r="F768" i="3"/>
  <c r="E768" i="3"/>
  <c r="D767" i="3"/>
  <c r="D766" i="3"/>
  <c r="D765" i="3"/>
  <c r="D764" i="3"/>
  <c r="D763" i="3"/>
  <c r="D761" i="3"/>
  <c r="D760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P704" i="3"/>
  <c r="P703" i="3"/>
  <c r="P702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P700" i="3"/>
  <c r="P699" i="3"/>
  <c r="P698" i="3"/>
  <c r="P697" i="3"/>
  <c r="P696" i="3"/>
  <c r="P695" i="3"/>
  <c r="P694" i="3"/>
  <c r="O693" i="3"/>
  <c r="N693" i="3"/>
  <c r="M693" i="3"/>
  <c r="L693" i="3"/>
  <c r="K693" i="3"/>
  <c r="J693" i="3"/>
  <c r="I693" i="3"/>
  <c r="H693" i="3"/>
  <c r="G693" i="3"/>
  <c r="G706" i="3" s="1"/>
  <c r="C278" i="4" s="1"/>
  <c r="I278" i="4" s="1"/>
  <c r="F693" i="3"/>
  <c r="E693" i="3"/>
  <c r="D693" i="3"/>
  <c r="P692" i="3"/>
  <c r="P691" i="3"/>
  <c r="P690" i="3"/>
  <c r="P689" i="3"/>
  <c r="P688" i="3"/>
  <c r="P687" i="3"/>
  <c r="N681" i="3"/>
  <c r="M681" i="3"/>
  <c r="L681" i="3"/>
  <c r="K681" i="3"/>
  <c r="I681" i="3"/>
  <c r="H681" i="3"/>
  <c r="G681" i="3"/>
  <c r="F681" i="3"/>
  <c r="E681" i="3"/>
  <c r="D681" i="3"/>
  <c r="P680" i="3"/>
  <c r="O679" i="3"/>
  <c r="J679" i="3"/>
  <c r="J681" i="3" s="1"/>
  <c r="P678" i="3"/>
  <c r="O677" i="3"/>
  <c r="M677" i="3"/>
  <c r="L677" i="3"/>
  <c r="K677" i="3"/>
  <c r="I677" i="3"/>
  <c r="I682" i="3" s="1"/>
  <c r="C264" i="4" s="1"/>
  <c r="I264" i="4" s="1"/>
  <c r="H677" i="3"/>
  <c r="G677" i="3"/>
  <c r="F677" i="3"/>
  <c r="E677" i="3"/>
  <c r="D677" i="3"/>
  <c r="P676" i="3"/>
  <c r="P675" i="3"/>
  <c r="N674" i="3"/>
  <c r="J674" i="3"/>
  <c r="J677" i="3" s="1"/>
  <c r="P673" i="3"/>
  <c r="O672" i="3"/>
  <c r="M672" i="3"/>
  <c r="L672" i="3"/>
  <c r="K672" i="3"/>
  <c r="J672" i="3"/>
  <c r="J682" i="3" s="1"/>
  <c r="C265" i="4" s="1"/>
  <c r="I265" i="4" s="1"/>
  <c r="I672" i="3"/>
  <c r="H672" i="3"/>
  <c r="G672" i="3"/>
  <c r="F672" i="3"/>
  <c r="F682" i="3" s="1"/>
  <c r="C261" i="4" s="1"/>
  <c r="I261" i="4" s="1"/>
  <c r="E672" i="3"/>
  <c r="D672" i="3"/>
  <c r="P671" i="3"/>
  <c r="N670" i="3"/>
  <c r="N672" i="3" s="1"/>
  <c r="P669" i="3"/>
  <c r="P668" i="3"/>
  <c r="P667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P660" i="3"/>
  <c r="P659" i="3"/>
  <c r="P658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P656" i="3"/>
  <c r="P655" i="3"/>
  <c r="P654" i="3"/>
  <c r="P653" i="3"/>
  <c r="P652" i="3"/>
  <c r="P651" i="3"/>
  <c r="O650" i="3"/>
  <c r="N650" i="3"/>
  <c r="M650" i="3"/>
  <c r="L650" i="3"/>
  <c r="K650" i="3"/>
  <c r="J650" i="3"/>
  <c r="I650" i="3"/>
  <c r="I662" i="3" s="1"/>
  <c r="C248" i="4" s="1"/>
  <c r="I248" i="4" s="1"/>
  <c r="H650" i="3"/>
  <c r="G650" i="3"/>
  <c r="F650" i="3"/>
  <c r="E650" i="3"/>
  <c r="D650" i="3"/>
  <c r="P649" i="3"/>
  <c r="P648" i="3"/>
  <c r="P647" i="3"/>
  <c r="P646" i="3"/>
  <c r="P645" i="3"/>
  <c r="P644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P637" i="3"/>
  <c r="P636" i="3"/>
  <c r="P635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P633" i="3"/>
  <c r="P632" i="3"/>
  <c r="P631" i="3"/>
  <c r="P630" i="3"/>
  <c r="P629" i="3"/>
  <c r="P628" i="3"/>
  <c r="P627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P625" i="3"/>
  <c r="P624" i="3"/>
  <c r="P623" i="3"/>
  <c r="P622" i="3"/>
  <c r="P621" i="3"/>
  <c r="P620" i="3"/>
  <c r="P619" i="3"/>
  <c r="E224" i="3"/>
  <c r="E225" i="3" s="1"/>
  <c r="F224" i="3"/>
  <c r="F225" i="3" s="1"/>
  <c r="G224" i="3"/>
  <c r="G225" i="3" s="1"/>
  <c r="H224" i="3"/>
  <c r="H225" i="3" s="1"/>
  <c r="I224" i="3"/>
  <c r="I225" i="3" s="1"/>
  <c r="J224" i="3"/>
  <c r="K224" i="3"/>
  <c r="K225" i="3" s="1"/>
  <c r="L224" i="3"/>
  <c r="L225" i="3" s="1"/>
  <c r="M224" i="3"/>
  <c r="M225" i="3" s="1"/>
  <c r="N224" i="3"/>
  <c r="N225" i="3" s="1"/>
  <c r="O224" i="3"/>
  <c r="O225" i="3" s="1"/>
  <c r="D224" i="3"/>
  <c r="D225" i="3" s="1"/>
  <c r="P226" i="3"/>
  <c r="F215" i="3"/>
  <c r="P216" i="3"/>
  <c r="E215" i="3"/>
  <c r="G215" i="3"/>
  <c r="H215" i="3"/>
  <c r="I215" i="3"/>
  <c r="J215" i="3"/>
  <c r="K215" i="3"/>
  <c r="L215" i="3"/>
  <c r="N215" i="3"/>
  <c r="O215" i="3"/>
  <c r="D215" i="3"/>
  <c r="P218" i="3"/>
  <c r="E220" i="3"/>
  <c r="E221" i="3" s="1"/>
  <c r="F220" i="3"/>
  <c r="F221" i="3" s="1"/>
  <c r="G220" i="3"/>
  <c r="G221" i="3" s="1"/>
  <c r="H220" i="3"/>
  <c r="H221" i="3" s="1"/>
  <c r="I220" i="3"/>
  <c r="I221" i="3"/>
  <c r="J220" i="3"/>
  <c r="J221" i="3" s="1"/>
  <c r="K220" i="3"/>
  <c r="K221" i="3" s="1"/>
  <c r="L220" i="3"/>
  <c r="L221" i="3" s="1"/>
  <c r="M220" i="3"/>
  <c r="M221" i="3" s="1"/>
  <c r="N220" i="3"/>
  <c r="N221" i="3" s="1"/>
  <c r="O220" i="3"/>
  <c r="O221" i="3" s="1"/>
  <c r="D220" i="3"/>
  <c r="D221" i="3" s="1"/>
  <c r="P222" i="3"/>
  <c r="E207" i="3"/>
  <c r="E208" i="3" s="1"/>
  <c r="F207" i="3"/>
  <c r="F208" i="3" s="1"/>
  <c r="G207" i="3"/>
  <c r="G208" i="3" s="1"/>
  <c r="H207" i="3"/>
  <c r="I207" i="3"/>
  <c r="I208" i="3" s="1"/>
  <c r="J207" i="3"/>
  <c r="J208" i="3" s="1"/>
  <c r="K207" i="3"/>
  <c r="K208" i="3" s="1"/>
  <c r="L207" i="3"/>
  <c r="L208" i="3" s="1"/>
  <c r="M207" i="3"/>
  <c r="M208" i="3" s="1"/>
  <c r="N207" i="3"/>
  <c r="N208" i="3" s="1"/>
  <c r="O207" i="3"/>
  <c r="O208" i="3" s="1"/>
  <c r="E211" i="3"/>
  <c r="E212" i="3" s="1"/>
  <c r="F211" i="3"/>
  <c r="F212" i="3" s="1"/>
  <c r="G211" i="3"/>
  <c r="G212" i="3" s="1"/>
  <c r="H211" i="3"/>
  <c r="H212" i="3"/>
  <c r="I211" i="3"/>
  <c r="I212" i="3" s="1"/>
  <c r="J211" i="3"/>
  <c r="J212" i="3" s="1"/>
  <c r="K211" i="3"/>
  <c r="K212" i="3" s="1"/>
  <c r="L211" i="3"/>
  <c r="M211" i="3"/>
  <c r="M212" i="3" s="1"/>
  <c r="N211" i="3"/>
  <c r="N212" i="3" s="1"/>
  <c r="O211" i="3"/>
  <c r="O212" i="3" s="1"/>
  <c r="D211" i="3"/>
  <c r="D212" i="3" s="1"/>
  <c r="D207" i="3"/>
  <c r="D208" i="3" s="1"/>
  <c r="P213" i="3"/>
  <c r="P209" i="3"/>
  <c r="P205" i="3"/>
  <c r="O203" i="3"/>
  <c r="O204" i="3" s="1"/>
  <c r="N203" i="3"/>
  <c r="N204" i="3" s="1"/>
  <c r="M203" i="3"/>
  <c r="M204" i="3" s="1"/>
  <c r="L203" i="3"/>
  <c r="L204" i="3" s="1"/>
  <c r="K203" i="3"/>
  <c r="K204" i="3" s="1"/>
  <c r="J203" i="3"/>
  <c r="J204" i="3" s="1"/>
  <c r="I203" i="3"/>
  <c r="I204" i="3" s="1"/>
  <c r="H203" i="3"/>
  <c r="H204" i="3" s="1"/>
  <c r="G203" i="3"/>
  <c r="G204" i="3" s="1"/>
  <c r="F203" i="3"/>
  <c r="F204" i="3" s="1"/>
  <c r="E203" i="3"/>
  <c r="E204" i="3" s="1"/>
  <c r="D203" i="3"/>
  <c r="D204" i="3" s="1"/>
  <c r="P201" i="3"/>
  <c r="P200" i="3"/>
  <c r="P199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O194" i="3"/>
  <c r="N194" i="3"/>
  <c r="M194" i="3"/>
  <c r="L194" i="3"/>
  <c r="K194" i="3"/>
  <c r="J194" i="3"/>
  <c r="I194" i="3"/>
  <c r="H194" i="3"/>
  <c r="H195" i="3" s="1"/>
  <c r="C55" i="4" s="1"/>
  <c r="I55" i="4" s="1"/>
  <c r="G194" i="3"/>
  <c r="F194" i="3"/>
  <c r="E194" i="3"/>
  <c r="D194" i="3"/>
  <c r="P193" i="3"/>
  <c r="P192" i="3"/>
  <c r="P191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P189" i="3"/>
  <c r="P188" i="3"/>
  <c r="P187" i="3"/>
  <c r="P186" i="3"/>
  <c r="P185" i="3"/>
  <c r="P183" i="3"/>
  <c r="P182" i="3"/>
  <c r="P181" i="3"/>
  <c r="O180" i="3"/>
  <c r="N180" i="3"/>
  <c r="M180" i="3"/>
  <c r="L180" i="3"/>
  <c r="K180" i="3"/>
  <c r="J180" i="3"/>
  <c r="J195" i="3" s="1"/>
  <c r="C57" i="4" s="1"/>
  <c r="I57" i="4" s="1"/>
  <c r="I180" i="3"/>
  <c r="H180" i="3"/>
  <c r="G180" i="3"/>
  <c r="F180" i="3"/>
  <c r="E180" i="3"/>
  <c r="D180" i="3"/>
  <c r="P179" i="3"/>
  <c r="P178" i="3"/>
  <c r="P177" i="3"/>
  <c r="P203" i="3" s="1"/>
  <c r="P176" i="3"/>
  <c r="P197" i="3" s="1"/>
  <c r="P175" i="3"/>
  <c r="P174" i="3"/>
  <c r="P173" i="3"/>
  <c r="P258" i="3"/>
  <c r="P259" i="3"/>
  <c r="O238" i="3"/>
  <c r="P231" i="3"/>
  <c r="P232" i="3"/>
  <c r="P233" i="3"/>
  <c r="P234" i="3"/>
  <c r="P255" i="3" s="1"/>
  <c r="P235" i="3"/>
  <c r="P261" i="3" s="1"/>
  <c r="P236" i="3"/>
  <c r="P237" i="3"/>
  <c r="D238" i="3"/>
  <c r="E238" i="3"/>
  <c r="F238" i="3"/>
  <c r="G238" i="3"/>
  <c r="H238" i="3"/>
  <c r="I238" i="3"/>
  <c r="J238" i="3"/>
  <c r="K238" i="3"/>
  <c r="L238" i="3"/>
  <c r="M238" i="3"/>
  <c r="N238" i="3"/>
  <c r="P239" i="3"/>
  <c r="P240" i="3"/>
  <c r="P241" i="3"/>
  <c r="P242" i="3"/>
  <c r="P243" i="3"/>
  <c r="P244" i="3"/>
  <c r="P245" i="3"/>
  <c r="P246" i="3"/>
  <c r="P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9" i="3"/>
  <c r="P252" i="3" s="1"/>
  <c r="P250" i="3"/>
  <c r="P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D255" i="3"/>
  <c r="D256" i="3" s="1"/>
  <c r="E255" i="3"/>
  <c r="E256" i="3" s="1"/>
  <c r="F255" i="3"/>
  <c r="F256" i="3" s="1"/>
  <c r="G255" i="3"/>
  <c r="G256" i="3" s="1"/>
  <c r="H255" i="3"/>
  <c r="H256" i="3" s="1"/>
  <c r="I255" i="3"/>
  <c r="I256" i="3" s="1"/>
  <c r="J255" i="3"/>
  <c r="J256" i="3" s="1"/>
  <c r="K255" i="3"/>
  <c r="K256" i="3"/>
  <c r="L255" i="3"/>
  <c r="L256" i="3" s="1"/>
  <c r="M255" i="3"/>
  <c r="M256" i="3" s="1"/>
  <c r="N255" i="3"/>
  <c r="N256" i="3" s="1"/>
  <c r="O255" i="3"/>
  <c r="P257" i="3"/>
  <c r="D261" i="3"/>
  <c r="D262" i="3" s="1"/>
  <c r="E261" i="3"/>
  <c r="E262" i="3" s="1"/>
  <c r="F261" i="3"/>
  <c r="F262" i="3" s="1"/>
  <c r="G261" i="3"/>
  <c r="G262" i="3" s="1"/>
  <c r="H261" i="3"/>
  <c r="H262" i="3" s="1"/>
  <c r="I261" i="3"/>
  <c r="I262" i="3" s="1"/>
  <c r="J261" i="3"/>
  <c r="J262" i="3" s="1"/>
  <c r="K261" i="3"/>
  <c r="K262" i="3" s="1"/>
  <c r="L261" i="3"/>
  <c r="L262" i="3" s="1"/>
  <c r="M261" i="3"/>
  <c r="M262" i="3" s="1"/>
  <c r="N261" i="3"/>
  <c r="N262" i="3" s="1"/>
  <c r="O261" i="3"/>
  <c r="O262" i="3" s="1"/>
  <c r="P263" i="3"/>
  <c r="D265" i="3"/>
  <c r="D266" i="3"/>
  <c r="E265" i="3"/>
  <c r="E266" i="3" s="1"/>
  <c r="F265" i="3"/>
  <c r="F266" i="3" s="1"/>
  <c r="G265" i="3"/>
  <c r="G266" i="3" s="1"/>
  <c r="H265" i="3"/>
  <c r="H266" i="3" s="1"/>
  <c r="I265" i="3"/>
  <c r="I266" i="3" s="1"/>
  <c r="J265" i="3"/>
  <c r="J266" i="3" s="1"/>
  <c r="K265" i="3"/>
  <c r="K266" i="3" s="1"/>
  <c r="L265" i="3"/>
  <c r="L266" i="3" s="1"/>
  <c r="M265" i="3"/>
  <c r="M266" i="3" s="1"/>
  <c r="N265" i="3"/>
  <c r="N266" i="3" s="1"/>
  <c r="O265" i="3"/>
  <c r="O266" i="3" s="1"/>
  <c r="P267" i="3"/>
  <c r="D269" i="3"/>
  <c r="E269" i="3"/>
  <c r="F269" i="3"/>
  <c r="G269" i="3"/>
  <c r="G272" i="3" s="1"/>
  <c r="H269" i="3"/>
  <c r="H272" i="3" s="1"/>
  <c r="I269" i="3"/>
  <c r="I272" i="3"/>
  <c r="J269" i="3"/>
  <c r="J272" i="3" s="1"/>
  <c r="K269" i="3"/>
  <c r="K272" i="3" s="1"/>
  <c r="L269" i="3"/>
  <c r="L272" i="3" s="1"/>
  <c r="M269" i="3"/>
  <c r="M272" i="3" s="1"/>
  <c r="N269" i="3"/>
  <c r="N272" i="3" s="1"/>
  <c r="O269" i="3"/>
  <c r="O272" i="3"/>
  <c r="P270" i="3"/>
  <c r="P271" i="3"/>
  <c r="P273" i="3"/>
  <c r="P278" i="3"/>
  <c r="P279" i="3"/>
  <c r="P280" i="3"/>
  <c r="P281" i="3"/>
  <c r="P306" i="3"/>
  <c r="P282" i="3"/>
  <c r="P310" i="3" s="1"/>
  <c r="P283" i="3"/>
  <c r="P284" i="3"/>
  <c r="P31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6" i="3"/>
  <c r="P287" i="3"/>
  <c r="P288" i="3"/>
  <c r="P289" i="3"/>
  <c r="P290" i="3"/>
  <c r="P291" i="3"/>
  <c r="P292" i="3"/>
  <c r="P293" i="3"/>
  <c r="P294" i="3"/>
  <c r="D295" i="3"/>
  <c r="E295" i="3"/>
  <c r="F295" i="3"/>
  <c r="F300" i="3" s="1"/>
  <c r="C85" i="4" s="1"/>
  <c r="I85" i="4" s="1"/>
  <c r="G295" i="3"/>
  <c r="H295" i="3"/>
  <c r="I295" i="3"/>
  <c r="J295" i="3"/>
  <c r="K295" i="3"/>
  <c r="L295" i="3"/>
  <c r="M295" i="3"/>
  <c r="N295" i="3"/>
  <c r="O295" i="3"/>
  <c r="P296" i="3"/>
  <c r="P297" i="3"/>
  <c r="P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3" i="3"/>
  <c r="P304" i="3"/>
  <c r="D306" i="3"/>
  <c r="D307" i="3" s="1"/>
  <c r="E306" i="3"/>
  <c r="E307" i="3" s="1"/>
  <c r="F306" i="3"/>
  <c r="F307" i="3" s="1"/>
  <c r="G306" i="3"/>
  <c r="G307" i="3" s="1"/>
  <c r="H306" i="3"/>
  <c r="H307" i="3" s="1"/>
  <c r="I306" i="3"/>
  <c r="I307" i="3" s="1"/>
  <c r="J306" i="3"/>
  <c r="J307" i="3" s="1"/>
  <c r="K306" i="3"/>
  <c r="K307" i="3" s="1"/>
  <c r="L306" i="3"/>
  <c r="L307" i="3" s="1"/>
  <c r="M306" i="3"/>
  <c r="M307" i="3" s="1"/>
  <c r="N306" i="3"/>
  <c r="N307" i="3" s="1"/>
  <c r="O306" i="3"/>
  <c r="O307" i="3" s="1"/>
  <c r="P308" i="3"/>
  <c r="D310" i="3"/>
  <c r="D311" i="3"/>
  <c r="E310" i="3"/>
  <c r="E311" i="3" s="1"/>
  <c r="F310" i="3"/>
  <c r="F311" i="3" s="1"/>
  <c r="G310" i="3"/>
  <c r="G311" i="3" s="1"/>
  <c r="H310" i="3"/>
  <c r="H311" i="3" s="1"/>
  <c r="I310" i="3"/>
  <c r="I311" i="3" s="1"/>
  <c r="J310" i="3"/>
  <c r="J311" i="3" s="1"/>
  <c r="K310" i="3"/>
  <c r="K311" i="3" s="1"/>
  <c r="L310" i="3"/>
  <c r="L311" i="3" s="1"/>
  <c r="M310" i="3"/>
  <c r="M311" i="3" s="1"/>
  <c r="N310" i="3"/>
  <c r="N311" i="3" s="1"/>
  <c r="O310" i="3"/>
  <c r="O311" i="3" s="1"/>
  <c r="P312" i="3"/>
  <c r="D314" i="3"/>
  <c r="E314" i="3"/>
  <c r="F314" i="3"/>
  <c r="G314" i="3"/>
  <c r="H314" i="3"/>
  <c r="I314" i="3"/>
  <c r="I316" i="3" s="1"/>
  <c r="P316" i="3" s="1"/>
  <c r="J314" i="3"/>
  <c r="J315" i="3" s="1"/>
  <c r="K314" i="3"/>
  <c r="L314" i="3"/>
  <c r="L315" i="3" s="1"/>
  <c r="M314" i="3"/>
  <c r="M315" i="3" s="1"/>
  <c r="N314" i="3"/>
  <c r="N315" i="3" s="1"/>
  <c r="O314" i="3"/>
  <c r="O315" i="3" s="1"/>
  <c r="K318" i="3"/>
  <c r="L318" i="3"/>
  <c r="L319" i="3" s="1"/>
  <c r="M318" i="3"/>
  <c r="M319" i="3" s="1"/>
  <c r="N318" i="3"/>
  <c r="N319" i="3" s="1"/>
  <c r="O318" i="3"/>
  <c r="O319" i="3" s="1"/>
  <c r="D319" i="3"/>
  <c r="E319" i="3"/>
  <c r="E318" i="3" s="1"/>
  <c r="F319" i="3"/>
  <c r="F318" i="3" s="1"/>
  <c r="G319" i="3"/>
  <c r="G318" i="3" s="1"/>
  <c r="H319" i="3"/>
  <c r="H318" i="3" s="1"/>
  <c r="I319" i="3"/>
  <c r="I318" i="3" s="1"/>
  <c r="J319" i="3"/>
  <c r="J318" i="3" s="1"/>
  <c r="P320" i="3"/>
  <c r="K322" i="3"/>
  <c r="L322" i="3"/>
  <c r="L323" i="3" s="1"/>
  <c r="M322" i="3"/>
  <c r="M323" i="3" s="1"/>
  <c r="N322" i="3"/>
  <c r="N323" i="3" s="1"/>
  <c r="O322" i="3"/>
  <c r="O323" i="3" s="1"/>
  <c r="D323" i="3"/>
  <c r="E323" i="3"/>
  <c r="F323" i="3"/>
  <c r="G323" i="3"/>
  <c r="H323" i="3"/>
  <c r="I323" i="3"/>
  <c r="J323" i="3"/>
  <c r="P324" i="3"/>
  <c r="D329" i="3"/>
  <c r="I329" i="3"/>
  <c r="I353" i="3" s="1"/>
  <c r="K330" i="3"/>
  <c r="P330" i="3" s="1"/>
  <c r="P331" i="3"/>
  <c r="D332" i="3"/>
  <c r="P332" i="3" s="1"/>
  <c r="D333" i="3"/>
  <c r="D357" i="3"/>
  <c r="I333" i="3"/>
  <c r="I357" i="3"/>
  <c r="K333" i="3"/>
  <c r="K357" i="3"/>
  <c r="L333" i="3"/>
  <c r="L357" i="3" s="1"/>
  <c r="M333" i="3"/>
  <c r="D334" i="3"/>
  <c r="D362" i="3" s="1"/>
  <c r="I334" i="3"/>
  <c r="I362" i="3" s="1"/>
  <c r="K334" i="3"/>
  <c r="K362" i="3"/>
  <c r="L334" i="3"/>
  <c r="M334" i="3"/>
  <c r="M362" i="3" s="1"/>
  <c r="P335" i="3"/>
  <c r="P336" i="3"/>
  <c r="E337" i="3"/>
  <c r="F337" i="3"/>
  <c r="G337" i="3"/>
  <c r="H337" i="3"/>
  <c r="J337" i="3"/>
  <c r="N337" i="3"/>
  <c r="O337" i="3"/>
  <c r="P338" i="3"/>
  <c r="P339" i="3"/>
  <c r="I340" i="3"/>
  <c r="I346" i="3" s="1"/>
  <c r="K340" i="3"/>
  <c r="L340" i="3"/>
  <c r="L346" i="3" s="1"/>
  <c r="M340" i="3"/>
  <c r="M346" i="3" s="1"/>
  <c r="P341" i="3"/>
  <c r="P342" i="3"/>
  <c r="P343" i="3"/>
  <c r="P344" i="3"/>
  <c r="P345" i="3"/>
  <c r="D346" i="3"/>
  <c r="E346" i="3"/>
  <c r="F346" i="3"/>
  <c r="G346" i="3"/>
  <c r="H346" i="3"/>
  <c r="J346" i="3"/>
  <c r="N346" i="3"/>
  <c r="O346" i="3"/>
  <c r="P347" i="3"/>
  <c r="P348" i="3"/>
  <c r="P349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D353" i="3"/>
  <c r="E353" i="3"/>
  <c r="F353" i="3"/>
  <c r="F355" i="3" s="1"/>
  <c r="G353" i="3"/>
  <c r="H353" i="3"/>
  <c r="J353" i="3"/>
  <c r="J355" i="3" s="1"/>
  <c r="K353" i="3"/>
  <c r="L353" i="3"/>
  <c r="M353" i="3"/>
  <c r="N353" i="3"/>
  <c r="O353" i="3"/>
  <c r="P354" i="3"/>
  <c r="E357" i="3"/>
  <c r="E358" i="3" s="1"/>
  <c r="F357" i="3"/>
  <c r="F358" i="3" s="1"/>
  <c r="G357" i="3"/>
  <c r="G358" i="3" s="1"/>
  <c r="H357" i="3"/>
  <c r="H358" i="3" s="1"/>
  <c r="J357" i="3"/>
  <c r="J358" i="3" s="1"/>
  <c r="N357" i="3"/>
  <c r="N358" i="3" s="1"/>
  <c r="O357" i="3"/>
  <c r="P359" i="3"/>
  <c r="P360" i="3"/>
  <c r="E362" i="3"/>
  <c r="E364" i="3" s="1"/>
  <c r="F362" i="3"/>
  <c r="F364" i="3" s="1"/>
  <c r="G362" i="3"/>
  <c r="G364" i="3" s="1"/>
  <c r="H362" i="3"/>
  <c r="H364" i="3" s="1"/>
  <c r="J362" i="3"/>
  <c r="J364" i="3" s="1"/>
  <c r="N362" i="3"/>
  <c r="N364" i="3" s="1"/>
  <c r="O362" i="3"/>
  <c r="P363" i="3"/>
  <c r="P365" i="3"/>
  <c r="P370" i="3"/>
  <c r="P371" i="3"/>
  <c r="P372" i="3"/>
  <c r="P373" i="3"/>
  <c r="P374" i="3"/>
  <c r="P392" i="3" s="1"/>
  <c r="L375" i="3"/>
  <c r="L377" i="3" s="1"/>
  <c r="M375" i="3"/>
  <c r="M397" i="3" s="1"/>
  <c r="M398" i="3" s="1"/>
  <c r="P376" i="3"/>
  <c r="D377" i="3"/>
  <c r="E377" i="3"/>
  <c r="F377" i="3"/>
  <c r="G377" i="3"/>
  <c r="H377" i="3"/>
  <c r="I377" i="3"/>
  <c r="J377" i="3"/>
  <c r="K377" i="3"/>
  <c r="K390" i="3" s="1"/>
  <c r="C122" i="4" s="1"/>
  <c r="I122" i="4" s="1"/>
  <c r="N377" i="3"/>
  <c r="O377" i="3"/>
  <c r="P378" i="3"/>
  <c r="P379" i="3"/>
  <c r="P380" i="3"/>
  <c r="P381" i="3"/>
  <c r="P382" i="3"/>
  <c r="P383" i="3"/>
  <c r="P384" i="3"/>
  <c r="D385" i="3"/>
  <c r="D390" i="3" s="1"/>
  <c r="C115" i="4" s="1"/>
  <c r="I115" i="4" s="1"/>
  <c r="E385" i="3"/>
  <c r="F385" i="3"/>
  <c r="G385" i="3"/>
  <c r="H385" i="3"/>
  <c r="H390" i="3" s="1"/>
  <c r="C119" i="4" s="1"/>
  <c r="I119" i="4" s="1"/>
  <c r="I385" i="3"/>
  <c r="J385" i="3"/>
  <c r="K385" i="3"/>
  <c r="L385" i="3"/>
  <c r="M385" i="3"/>
  <c r="N385" i="3"/>
  <c r="O385" i="3"/>
  <c r="P386" i="3"/>
  <c r="P387" i="3"/>
  <c r="P388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D392" i="3"/>
  <c r="D393" i="3" s="1"/>
  <c r="E392" i="3"/>
  <c r="E393" i="3" s="1"/>
  <c r="F392" i="3"/>
  <c r="F393" i="3" s="1"/>
  <c r="G392" i="3"/>
  <c r="G393" i="3" s="1"/>
  <c r="H392" i="3"/>
  <c r="I392" i="3"/>
  <c r="J392" i="3"/>
  <c r="J393" i="3" s="1"/>
  <c r="K392" i="3"/>
  <c r="K393" i="3" s="1"/>
  <c r="L392" i="3"/>
  <c r="M392" i="3"/>
  <c r="M393" i="3" s="1"/>
  <c r="N392" i="3"/>
  <c r="N393" i="3" s="1"/>
  <c r="O392" i="3"/>
  <c r="P394" i="3"/>
  <c r="P395" i="3"/>
  <c r="D397" i="3"/>
  <c r="E397" i="3"/>
  <c r="F397" i="3"/>
  <c r="G397" i="3"/>
  <c r="H397" i="3"/>
  <c r="I397" i="3"/>
  <c r="J397" i="3"/>
  <c r="K397" i="3"/>
  <c r="N397" i="3"/>
  <c r="N398" i="3" s="1"/>
  <c r="O397" i="3"/>
  <c r="O398" i="3" s="1"/>
  <c r="D399" i="3"/>
  <c r="P399" i="3"/>
  <c r="P400" i="3"/>
  <c r="P401" i="3"/>
  <c r="P406" i="3"/>
  <c r="P407" i="3"/>
  <c r="P408" i="3"/>
  <c r="P409" i="3"/>
  <c r="O410" i="3"/>
  <c r="O429" i="3" s="1"/>
  <c r="P410" i="3"/>
  <c r="P429" i="3" s="1"/>
  <c r="P411" i="3"/>
  <c r="P435" i="3" s="1"/>
  <c r="P412" i="3"/>
  <c r="D413" i="3"/>
  <c r="E413" i="3"/>
  <c r="F413" i="3"/>
  <c r="G413" i="3"/>
  <c r="H413" i="3"/>
  <c r="I413" i="3"/>
  <c r="J413" i="3"/>
  <c r="K413" i="3"/>
  <c r="L413" i="3"/>
  <c r="M413" i="3"/>
  <c r="N413" i="3"/>
  <c r="P414" i="3"/>
  <c r="P415" i="3"/>
  <c r="P416" i="3"/>
  <c r="P417" i="3"/>
  <c r="P418" i="3"/>
  <c r="P419" i="3"/>
  <c r="P420" i="3"/>
  <c r="P421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3" i="3"/>
  <c r="P424" i="3"/>
  <c r="P425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D429" i="3"/>
  <c r="E429" i="3"/>
  <c r="F429" i="3"/>
  <c r="G429" i="3"/>
  <c r="H429" i="3"/>
  <c r="I429" i="3"/>
  <c r="J429" i="3"/>
  <c r="K429" i="3"/>
  <c r="L429" i="3"/>
  <c r="M429" i="3"/>
  <c r="N429" i="3"/>
  <c r="P430" i="3"/>
  <c r="P431" i="3"/>
  <c r="N432" i="3"/>
  <c r="O432" i="3"/>
  <c r="P433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O436" i="3" s="1"/>
  <c r="P436" i="3" s="1"/>
  <c r="P437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40" i="3"/>
  <c r="P441" i="3"/>
  <c r="P446" i="3"/>
  <c r="P447" i="3"/>
  <c r="P448" i="3"/>
  <c r="P449" i="3"/>
  <c r="P450" i="3"/>
  <c r="P469" i="3" s="1"/>
  <c r="P451" i="3"/>
  <c r="P473" i="3" s="1"/>
  <c r="P452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4" i="3"/>
  <c r="P455" i="3"/>
  <c r="P456" i="3"/>
  <c r="P457" i="3"/>
  <c r="P458" i="3"/>
  <c r="P459" i="3"/>
  <c r="P460" i="3"/>
  <c r="P461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3" i="3"/>
  <c r="P464" i="3"/>
  <c r="P465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70" i="3"/>
  <c r="P471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4" i="3"/>
  <c r="P475" i="3"/>
  <c r="P480" i="3"/>
  <c r="P481" i="3"/>
  <c r="P482" i="3"/>
  <c r="P483" i="3"/>
  <c r="P504" i="3" s="1"/>
  <c r="P484" i="3"/>
  <c r="P485" i="3"/>
  <c r="P507" i="3" s="1"/>
  <c r="P486" i="3"/>
  <c r="P487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9" i="3"/>
  <c r="P490" i="3"/>
  <c r="P491" i="3"/>
  <c r="P492" i="3"/>
  <c r="P493" i="3"/>
  <c r="P494" i="3"/>
  <c r="P495" i="3"/>
  <c r="P496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8" i="3"/>
  <c r="P499" i="3"/>
  <c r="P500" i="3"/>
  <c r="P501" i="3" s="1"/>
  <c r="D501" i="3"/>
  <c r="E501" i="3"/>
  <c r="E502" i="3" s="1"/>
  <c r="C164" i="4" s="1"/>
  <c r="I164" i="4" s="1"/>
  <c r="F501" i="3"/>
  <c r="G501" i="3"/>
  <c r="H501" i="3"/>
  <c r="I501" i="3"/>
  <c r="J501" i="3"/>
  <c r="K501" i="3"/>
  <c r="L501" i="3"/>
  <c r="M501" i="3"/>
  <c r="N501" i="3"/>
  <c r="O501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5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8" i="3"/>
  <c r="P513" i="3"/>
  <c r="P514" i="3"/>
  <c r="P515" i="3"/>
  <c r="P516" i="3"/>
  <c r="P517" i="3"/>
  <c r="P540" i="3" s="1"/>
  <c r="P518" i="3"/>
  <c r="P519" i="3"/>
  <c r="P520" i="3"/>
  <c r="P543" i="3" s="1"/>
  <c r="P521" i="3"/>
  <c r="P522" i="3"/>
  <c r="P523" i="3"/>
  <c r="D524" i="3"/>
  <c r="D538" i="3" s="1"/>
  <c r="C179" i="4" s="1"/>
  <c r="I179" i="4" s="1"/>
  <c r="E524" i="3"/>
  <c r="F524" i="3"/>
  <c r="G524" i="3"/>
  <c r="H524" i="3"/>
  <c r="I524" i="3"/>
  <c r="J524" i="3"/>
  <c r="K524" i="3"/>
  <c r="L524" i="3"/>
  <c r="M524" i="3"/>
  <c r="N524" i="3"/>
  <c r="O524" i="3"/>
  <c r="P525" i="3"/>
  <c r="P526" i="3"/>
  <c r="P527" i="3"/>
  <c r="P528" i="3"/>
  <c r="P529" i="3"/>
  <c r="P530" i="3"/>
  <c r="P531" i="3"/>
  <c r="P532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4" i="3"/>
  <c r="P535" i="3"/>
  <c r="P536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1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4" i="3"/>
  <c r="P549" i="3"/>
  <c r="P550" i="3"/>
  <c r="P551" i="3"/>
  <c r="P552" i="3"/>
  <c r="P553" i="3"/>
  <c r="P554" i="3"/>
  <c r="P555" i="3"/>
  <c r="P556" i="3"/>
  <c r="P557" i="3"/>
  <c r="P558" i="3"/>
  <c r="P559" i="3"/>
  <c r="D560" i="3"/>
  <c r="E560" i="3"/>
  <c r="F560" i="3"/>
  <c r="G560" i="3"/>
  <c r="H560" i="3"/>
  <c r="H574" i="3" s="1"/>
  <c r="C199" i="4" s="1"/>
  <c r="I199" i="4" s="1"/>
  <c r="I560" i="3"/>
  <c r="J560" i="3"/>
  <c r="K560" i="3"/>
  <c r="L560" i="3"/>
  <c r="M560" i="3"/>
  <c r="N560" i="3"/>
  <c r="O560" i="3"/>
  <c r="P561" i="3"/>
  <c r="P562" i="3"/>
  <c r="P563" i="3"/>
  <c r="P564" i="3"/>
  <c r="P565" i="3"/>
  <c r="P566" i="3"/>
  <c r="P567" i="3"/>
  <c r="P568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70" i="3"/>
  <c r="P571" i="3"/>
  <c r="P572" i="3"/>
  <c r="D573" i="3"/>
  <c r="E573" i="3"/>
  <c r="E574" i="3" s="1"/>
  <c r="C196" i="4" s="1"/>
  <c r="I196" i="4" s="1"/>
  <c r="F573" i="3"/>
  <c r="G573" i="3"/>
  <c r="H573" i="3"/>
  <c r="I573" i="3"/>
  <c r="J573" i="3"/>
  <c r="K573" i="3"/>
  <c r="L573" i="3"/>
  <c r="M573" i="3"/>
  <c r="N573" i="3"/>
  <c r="O573" i="3"/>
  <c r="D576" i="3"/>
  <c r="E576" i="3"/>
  <c r="F576" i="3"/>
  <c r="G576" i="3"/>
  <c r="H576" i="3"/>
  <c r="I576" i="3"/>
  <c r="J576" i="3"/>
  <c r="P577" i="3"/>
  <c r="D579" i="3"/>
  <c r="E579" i="3"/>
  <c r="F579" i="3"/>
  <c r="G579" i="3"/>
  <c r="H579" i="3"/>
  <c r="I579" i="3"/>
  <c r="J579" i="3"/>
  <c r="P580" i="3"/>
  <c r="P585" i="3"/>
  <c r="P586" i="3"/>
  <c r="P587" i="3"/>
  <c r="P588" i="3"/>
  <c r="P589" i="3"/>
  <c r="P590" i="3"/>
  <c r="P591" i="3"/>
  <c r="P592" i="3"/>
  <c r="P593" i="3"/>
  <c r="D594" i="3"/>
  <c r="D608" i="3" s="1"/>
  <c r="C211" i="4" s="1"/>
  <c r="I211" i="4" s="1"/>
  <c r="E594" i="3"/>
  <c r="F594" i="3"/>
  <c r="G594" i="3"/>
  <c r="H594" i="3"/>
  <c r="I594" i="3"/>
  <c r="J594" i="3"/>
  <c r="K594" i="3"/>
  <c r="L594" i="3"/>
  <c r="M594" i="3"/>
  <c r="N594" i="3"/>
  <c r="O594" i="3"/>
  <c r="P595" i="3"/>
  <c r="P596" i="3"/>
  <c r="P597" i="3"/>
  <c r="P598" i="3"/>
  <c r="P599" i="3"/>
  <c r="P600" i="3"/>
  <c r="P601" i="3"/>
  <c r="P602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4" i="3"/>
  <c r="P605" i="3"/>
  <c r="P606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1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4" i="3"/>
  <c r="G4" i="2"/>
  <c r="K4" i="2" s="1"/>
  <c r="H4" i="2"/>
  <c r="I4" i="2"/>
  <c r="G5" i="2"/>
  <c r="H5" i="2"/>
  <c r="E4" i="1"/>
  <c r="G4" i="1"/>
  <c r="I4" i="1"/>
  <c r="J4" i="1" s="1"/>
  <c r="E5" i="1"/>
  <c r="G5" i="1"/>
  <c r="I5" i="1"/>
  <c r="J5" i="1"/>
  <c r="P198" i="3"/>
  <c r="P217" i="3"/>
  <c r="O681" i="3"/>
  <c r="F390" i="3"/>
  <c r="C117" i="4" s="1"/>
  <c r="I117" i="4" s="1"/>
  <c r="H892" i="3"/>
  <c r="J225" i="3"/>
  <c r="I819" i="3"/>
  <c r="G146" i="3"/>
  <c r="J150" i="3"/>
  <c r="L212" i="3"/>
  <c r="G163" i="3"/>
  <c r="L163" i="3"/>
  <c r="F892" i="3"/>
  <c r="F914" i="3" s="1"/>
  <c r="O413" i="3"/>
  <c r="I574" i="3"/>
  <c r="C200" i="4" s="1"/>
  <c r="I200" i="4" s="1"/>
  <c r="M253" i="3"/>
  <c r="C76" i="4" s="1"/>
  <c r="I76" i="4" s="1"/>
  <c r="I134" i="3"/>
  <c r="C40" i="4"/>
  <c r="I40" i="4" s="1"/>
  <c r="O706" i="3"/>
  <c r="C286" i="4" s="1"/>
  <c r="I286" i="4" s="1"/>
  <c r="J253" i="3"/>
  <c r="C73" i="4" s="1"/>
  <c r="I73" i="4" s="1"/>
  <c r="P819" i="3"/>
  <c r="N351" i="3"/>
  <c r="C109" i="4" s="1"/>
  <c r="I109" i="4" s="1"/>
  <c r="H208" i="3"/>
  <c r="G662" i="3"/>
  <c r="C246" i="4" s="1"/>
  <c r="I246" i="4" s="1"/>
  <c r="O819" i="3"/>
  <c r="E706" i="3"/>
  <c r="C276" i="4" s="1"/>
  <c r="I276" i="4" s="1"/>
  <c r="H682" i="3"/>
  <c r="C263" i="4" s="1"/>
  <c r="I263" i="4" s="1"/>
  <c r="P679" i="3"/>
  <c r="M427" i="3"/>
  <c r="C140" i="4" s="1"/>
  <c r="I140" i="4" s="1"/>
  <c r="L300" i="3"/>
  <c r="C91" i="4" s="1"/>
  <c r="I91" i="4" s="1"/>
  <c r="F783" i="3"/>
  <c r="F785" i="3" s="1"/>
  <c r="E134" i="3"/>
  <c r="C36" i="4" s="1"/>
  <c r="I36" i="4" s="1"/>
  <c r="M357" i="3"/>
  <c r="F842" i="3"/>
  <c r="P670" i="3"/>
  <c r="E639" i="3"/>
  <c r="C228" i="4" s="1"/>
  <c r="I228" i="4" s="1"/>
  <c r="P432" i="3"/>
  <c r="K337" i="3"/>
  <c r="P334" i="3"/>
  <c r="P362" i="3" s="1"/>
  <c r="P439" i="3"/>
  <c r="G154" i="3"/>
  <c r="M783" i="3"/>
  <c r="M785" i="3" s="1"/>
  <c r="I42" i="2"/>
  <c r="I39" i="2"/>
  <c r="G55" i="2"/>
  <c r="M102" i="3"/>
  <c r="F37" i="2" l="1"/>
  <c r="F30" i="2"/>
  <c r="G29" i="2"/>
  <c r="G37" i="2"/>
  <c r="G30" i="2"/>
  <c r="E30" i="2" s="1"/>
  <c r="E7" i="1"/>
  <c r="F7" i="1" s="1"/>
  <c r="E9" i="1"/>
  <c r="F9" i="1" s="1"/>
  <c r="F40" i="2"/>
  <c r="F50" i="2"/>
  <c r="F9" i="2"/>
  <c r="H49" i="2"/>
  <c r="F26" i="2"/>
  <c r="F7" i="2"/>
  <c r="F23" i="2"/>
  <c r="F20" i="2"/>
  <c r="F11" i="2"/>
  <c r="F19" i="2"/>
  <c r="G53" i="2"/>
  <c r="E53" i="2" s="1"/>
  <c r="G40" i="2"/>
  <c r="G56" i="2"/>
  <c r="G43" i="2"/>
  <c r="G50" i="2"/>
  <c r="E50" i="2" s="1"/>
  <c r="K3" i="4"/>
  <c r="K15" i="4" s="1"/>
  <c r="I15" i="4"/>
  <c r="H9" i="1"/>
  <c r="E8" i="1"/>
  <c r="N253" i="3"/>
  <c r="C77" i="4" s="1"/>
  <c r="I77" i="4" s="1"/>
  <c r="F253" i="3"/>
  <c r="C69" i="4" s="1"/>
  <c r="I69" i="4" s="1"/>
  <c r="P194" i="3"/>
  <c r="H662" i="3"/>
  <c r="C247" i="4" s="1"/>
  <c r="I247" i="4" s="1"/>
  <c r="G682" i="3"/>
  <c r="C262" i="4" s="1"/>
  <c r="I262" i="4" s="1"/>
  <c r="L785" i="3"/>
  <c r="E864" i="3"/>
  <c r="D879" i="3"/>
  <c r="O574" i="3"/>
  <c r="C206" i="4" s="1"/>
  <c r="I206" i="4" s="1"/>
  <c r="G467" i="3"/>
  <c r="C150" i="4" s="1"/>
  <c r="I150" i="4" s="1"/>
  <c r="E608" i="3"/>
  <c r="C212" i="4" s="1"/>
  <c r="I212" i="4" s="1"/>
  <c r="N574" i="3"/>
  <c r="C205" i="4" s="1"/>
  <c r="I205" i="4" s="1"/>
  <c r="J502" i="3"/>
  <c r="C169" i="4" s="1"/>
  <c r="I169" i="4" s="1"/>
  <c r="N502" i="3"/>
  <c r="C173" i="4" s="1"/>
  <c r="I173" i="4" s="1"/>
  <c r="L538" i="3"/>
  <c r="C187" i="4" s="1"/>
  <c r="I187" i="4" s="1"/>
  <c r="L467" i="3"/>
  <c r="C155" i="4" s="1"/>
  <c r="I155" i="4" s="1"/>
  <c r="K854" i="3"/>
  <c r="D851" i="3"/>
  <c r="K864" i="3"/>
  <c r="I785" i="3"/>
  <c r="O854" i="3"/>
  <c r="O864" i="3"/>
  <c r="L864" i="3"/>
  <c r="I639" i="3"/>
  <c r="C232" i="4" s="1"/>
  <c r="I232" i="4" s="1"/>
  <c r="F639" i="3"/>
  <c r="C229" i="4" s="1"/>
  <c r="I229" i="4" s="1"/>
  <c r="E662" i="3"/>
  <c r="C244" i="4" s="1"/>
  <c r="I244" i="4" s="1"/>
  <c r="N639" i="3"/>
  <c r="C237" i="4" s="1"/>
  <c r="I237" i="4" s="1"/>
  <c r="D662" i="3"/>
  <c r="C243" i="4" s="1"/>
  <c r="I243" i="4" s="1"/>
  <c r="K682" i="3"/>
  <c r="C266" i="4" s="1"/>
  <c r="I266" i="4" s="1"/>
  <c r="P705" i="3"/>
  <c r="O785" i="3"/>
  <c r="F819" i="3"/>
  <c r="N819" i="3"/>
  <c r="H639" i="3"/>
  <c r="C231" i="4" s="1"/>
  <c r="I231" i="4" s="1"/>
  <c r="P650" i="3"/>
  <c r="F662" i="3"/>
  <c r="C245" i="4" s="1"/>
  <c r="I245" i="4" s="1"/>
  <c r="N662" i="3"/>
  <c r="C253" i="4" s="1"/>
  <c r="I253" i="4" s="1"/>
  <c r="L662" i="3"/>
  <c r="C251" i="4" s="1"/>
  <c r="I251" i="4" s="1"/>
  <c r="D682" i="3"/>
  <c r="C259" i="4" s="1"/>
  <c r="I259" i="4" s="1"/>
  <c r="L682" i="3"/>
  <c r="C267" i="4" s="1"/>
  <c r="I267" i="4" s="1"/>
  <c r="I706" i="3"/>
  <c r="C280" i="4" s="1"/>
  <c r="I280" i="4" s="1"/>
  <c r="J706" i="3"/>
  <c r="C281" i="4" s="1"/>
  <c r="I281" i="4" s="1"/>
  <c r="H785" i="3"/>
  <c r="N134" i="3"/>
  <c r="C45" i="4" s="1"/>
  <c r="I45" i="4" s="1"/>
  <c r="K538" i="3"/>
  <c r="C186" i="4" s="1"/>
  <c r="I186" i="4" s="1"/>
  <c r="D502" i="3"/>
  <c r="C163" i="4" s="1"/>
  <c r="I163" i="4" s="1"/>
  <c r="O467" i="3"/>
  <c r="J467" i="3"/>
  <c r="C153" i="4" s="1"/>
  <c r="I153" i="4" s="1"/>
  <c r="O195" i="3"/>
  <c r="C62" i="4" s="1"/>
  <c r="I62" i="4" s="1"/>
  <c r="K82" i="3"/>
  <c r="I26" i="4" s="1"/>
  <c r="K26" i="4" s="1"/>
  <c r="L502" i="3"/>
  <c r="C171" i="4" s="1"/>
  <c r="I171" i="4" s="1"/>
  <c r="F467" i="3"/>
  <c r="C149" i="4" s="1"/>
  <c r="I149" i="4" s="1"/>
  <c r="I608" i="3"/>
  <c r="C216" i="4" s="1"/>
  <c r="I216" i="4" s="1"/>
  <c r="F502" i="3"/>
  <c r="C165" i="4" s="1"/>
  <c r="I165" i="4" s="1"/>
  <c r="L390" i="3"/>
  <c r="C123" i="4" s="1"/>
  <c r="I123" i="4" s="1"/>
  <c r="P149" i="3"/>
  <c r="M300" i="3"/>
  <c r="C92" i="4" s="1"/>
  <c r="I92" i="4" s="1"/>
  <c r="D300" i="3"/>
  <c r="C83" i="4" s="1"/>
  <c r="I83" i="4" s="1"/>
  <c r="I300" i="3"/>
  <c r="C88" i="4" s="1"/>
  <c r="I88" i="4" s="1"/>
  <c r="D776" i="3"/>
  <c r="M337" i="3"/>
  <c r="K608" i="3"/>
  <c r="C218" i="4" s="1"/>
  <c r="I218" i="4" s="1"/>
  <c r="L574" i="3"/>
  <c r="C203" i="4" s="1"/>
  <c r="I203" i="4" s="1"/>
  <c r="D574" i="3"/>
  <c r="C195" i="4" s="1"/>
  <c r="I195" i="4" s="1"/>
  <c r="H538" i="3"/>
  <c r="C183" i="4" s="1"/>
  <c r="I183" i="4" s="1"/>
  <c r="E253" i="3"/>
  <c r="C68" i="4" s="1"/>
  <c r="I68" i="4" s="1"/>
  <c r="L706" i="3"/>
  <c r="C283" i="4" s="1"/>
  <c r="I283" i="4" s="1"/>
  <c r="F850" i="3"/>
  <c r="P879" i="3"/>
  <c r="G608" i="3"/>
  <c r="C214" i="4" s="1"/>
  <c r="I214" i="4" s="1"/>
  <c r="J300" i="3"/>
  <c r="C89" i="4" s="1"/>
  <c r="I89" i="4" s="1"/>
  <c r="P681" i="3"/>
  <c r="J608" i="3"/>
  <c r="C217" i="4" s="1"/>
  <c r="I217" i="4" s="1"/>
  <c r="H253" i="3"/>
  <c r="C71" i="4" s="1"/>
  <c r="I71" i="4" s="1"/>
  <c r="L397" i="3"/>
  <c r="O390" i="3"/>
  <c r="C126" i="4" s="1"/>
  <c r="I126" i="4" s="1"/>
  <c r="F351" i="3"/>
  <c r="C101" i="4" s="1"/>
  <c r="I101" i="4" s="1"/>
  <c r="H706" i="3"/>
  <c r="C279" i="4" s="1"/>
  <c r="I279" i="4" s="1"/>
  <c r="M706" i="3"/>
  <c r="C284" i="4" s="1"/>
  <c r="I284" i="4" s="1"/>
  <c r="G82" i="3"/>
  <c r="O82" i="3"/>
  <c r="P466" i="3"/>
  <c r="L427" i="3"/>
  <c r="L639" i="3"/>
  <c r="C235" i="4" s="1"/>
  <c r="I235" i="4" s="1"/>
  <c r="K662" i="3"/>
  <c r="C250" i="4" s="1"/>
  <c r="I250" i="4" s="1"/>
  <c r="H427" i="3"/>
  <c r="P333" i="3"/>
  <c r="P357" i="3" s="1"/>
  <c r="N864" i="3"/>
  <c r="I82" i="3"/>
  <c r="K908" i="3"/>
  <c r="K914" i="3"/>
  <c r="J908" i="3"/>
  <c r="J914" i="3"/>
  <c r="P914" i="3"/>
  <c r="P908" i="3"/>
  <c r="O427" i="3"/>
  <c r="C142" i="4" s="1"/>
  <c r="I142" i="4" s="1"/>
  <c r="H608" i="3"/>
  <c r="C215" i="4" s="1"/>
  <c r="I215" i="4" s="1"/>
  <c r="E538" i="3"/>
  <c r="C180" i="4" s="1"/>
  <c r="I180" i="4" s="1"/>
  <c r="P533" i="3"/>
  <c r="I538" i="3"/>
  <c r="C184" i="4" s="1"/>
  <c r="I184" i="4" s="1"/>
  <c r="P350" i="3"/>
  <c r="D337" i="3"/>
  <c r="D351" i="3" s="1"/>
  <c r="C99" i="4" s="1"/>
  <c r="I99" i="4" s="1"/>
  <c r="D774" i="3"/>
  <c r="P144" i="3"/>
  <c r="L82" i="3"/>
  <c r="P220" i="3"/>
  <c r="P315" i="3"/>
  <c r="O639" i="3"/>
  <c r="C238" i="4" s="1"/>
  <c r="I238" i="4" s="1"/>
  <c r="P657" i="3"/>
  <c r="P672" i="3"/>
  <c r="P693" i="3"/>
  <c r="P706" i="3" s="1"/>
  <c r="P701" i="3"/>
  <c r="F706" i="3"/>
  <c r="C277" i="4" s="1"/>
  <c r="I277" i="4" s="1"/>
  <c r="D884" i="3"/>
  <c r="I914" i="3"/>
  <c r="D838" i="3"/>
  <c r="P576" i="3"/>
  <c r="N608" i="3"/>
  <c r="C221" i="4" s="1"/>
  <c r="I221" i="4" s="1"/>
  <c r="M608" i="3"/>
  <c r="C220" i="4" s="1"/>
  <c r="I220" i="4" s="1"/>
  <c r="P603" i="3"/>
  <c r="O538" i="3"/>
  <c r="C190" i="4" s="1"/>
  <c r="I190" i="4" s="1"/>
  <c r="G538" i="3"/>
  <c r="C182" i="4" s="1"/>
  <c r="I182" i="4" s="1"/>
  <c r="P389" i="3"/>
  <c r="I390" i="3"/>
  <c r="C120" i="4" s="1"/>
  <c r="I120" i="4" s="1"/>
  <c r="P385" i="3"/>
  <c r="J390" i="3"/>
  <c r="C121" i="4" s="1"/>
  <c r="I121" i="4" s="1"/>
  <c r="J639" i="3"/>
  <c r="C233" i="4" s="1"/>
  <c r="I233" i="4" s="1"/>
  <c r="M662" i="3"/>
  <c r="C252" i="4" s="1"/>
  <c r="I252" i="4" s="1"/>
  <c r="H850" i="3"/>
  <c r="M864" i="3"/>
  <c r="L908" i="3"/>
  <c r="P146" i="3"/>
  <c r="J785" i="3"/>
  <c r="H908" i="3"/>
  <c r="P537" i="3"/>
  <c r="G427" i="3"/>
  <c r="C134" i="4" s="1"/>
  <c r="I134" i="4" s="1"/>
  <c r="P299" i="3"/>
  <c r="H300" i="3"/>
  <c r="C87" i="4" s="1"/>
  <c r="I87" i="4" s="1"/>
  <c r="P269" i="3"/>
  <c r="I195" i="3"/>
  <c r="C56" i="4" s="1"/>
  <c r="I56" i="4" s="1"/>
  <c r="P190" i="3"/>
  <c r="E195" i="3"/>
  <c r="C52" i="4" s="1"/>
  <c r="I52" i="4" s="1"/>
  <c r="M195" i="3"/>
  <c r="C60" i="4" s="1"/>
  <c r="I60" i="4" s="1"/>
  <c r="N195" i="3"/>
  <c r="C61" i="4" s="1"/>
  <c r="I61" i="4" s="1"/>
  <c r="P215" i="3"/>
  <c r="K639" i="3"/>
  <c r="C234" i="4" s="1"/>
  <c r="I234" i="4" s="1"/>
  <c r="G785" i="3"/>
  <c r="F864" i="3"/>
  <c r="E914" i="3"/>
  <c r="P153" i="3"/>
  <c r="P594" i="3"/>
  <c r="P579" i="3"/>
  <c r="D798" i="3"/>
  <c r="L608" i="3"/>
  <c r="C219" i="4" s="1"/>
  <c r="I219" i="4" s="1"/>
  <c r="E351" i="3"/>
  <c r="C100" i="4" s="1"/>
  <c r="I100" i="4" s="1"/>
  <c r="H351" i="3"/>
  <c r="C103" i="4" s="1"/>
  <c r="I103" i="4" s="1"/>
  <c r="O351" i="3"/>
  <c r="C110" i="4" s="1"/>
  <c r="I110" i="4" s="1"/>
  <c r="I253" i="3"/>
  <c r="C72" i="4" s="1"/>
  <c r="I72" i="4" s="1"/>
  <c r="D639" i="3"/>
  <c r="C227" i="4" s="1"/>
  <c r="I227" i="4" s="1"/>
  <c r="K706" i="3"/>
  <c r="C282" i="4" s="1"/>
  <c r="I282" i="4" s="1"/>
  <c r="F854" i="3"/>
  <c r="N854" i="3"/>
  <c r="D837" i="3"/>
  <c r="P119" i="3"/>
  <c r="J134" i="3"/>
  <c r="C41" i="4" s="1"/>
  <c r="I41" i="4" s="1"/>
  <c r="H82" i="3"/>
  <c r="I23" i="4" s="1"/>
  <c r="K23" i="4" s="1"/>
  <c r="P524" i="3"/>
  <c r="P538" i="3" s="1"/>
  <c r="P573" i="3"/>
  <c r="D899" i="3"/>
  <c r="D901" i="3" s="1"/>
  <c r="P265" i="3"/>
  <c r="P162" i="3"/>
  <c r="O682" i="3"/>
  <c r="C270" i="4" s="1"/>
  <c r="I270" i="4" s="1"/>
  <c r="P307" i="3"/>
  <c r="P302" i="3"/>
  <c r="G300" i="3"/>
  <c r="C86" i="4" s="1"/>
  <c r="I86" i="4" s="1"/>
  <c r="K300" i="3"/>
  <c r="C90" i="4" s="1"/>
  <c r="I90" i="4" s="1"/>
  <c r="P285" i="3"/>
  <c r="G253" i="3"/>
  <c r="C70" i="4" s="1"/>
  <c r="I70" i="4" s="1"/>
  <c r="P248" i="3"/>
  <c r="K253" i="3"/>
  <c r="C74" i="4" s="1"/>
  <c r="I74" i="4" s="1"/>
  <c r="K195" i="3"/>
  <c r="C58" i="4" s="1"/>
  <c r="I58" i="4" s="1"/>
  <c r="M639" i="3"/>
  <c r="C236" i="4" s="1"/>
  <c r="I236" i="4" s="1"/>
  <c r="P785" i="3"/>
  <c r="L819" i="3"/>
  <c r="J819" i="3"/>
  <c r="K819" i="3"/>
  <c r="D902" i="3"/>
  <c r="O914" i="3"/>
  <c r="M134" i="3"/>
  <c r="C44" i="4" s="1"/>
  <c r="I44" i="4" s="1"/>
  <c r="I427" i="3"/>
  <c r="C136" i="4" s="1"/>
  <c r="I136" i="4" s="1"/>
  <c r="P272" i="3"/>
  <c r="E682" i="3"/>
  <c r="C260" i="4" s="1"/>
  <c r="I260" i="4" s="1"/>
  <c r="M682" i="3"/>
  <c r="C268" i="4" s="1"/>
  <c r="I268" i="4" s="1"/>
  <c r="E819" i="3"/>
  <c r="M819" i="3"/>
  <c r="J82" i="3"/>
  <c r="I25" i="4" s="1"/>
  <c r="K25" i="4" s="1"/>
  <c r="I21" i="4"/>
  <c r="K21" i="4" s="1"/>
  <c r="I27" i="4"/>
  <c r="K27" i="4" s="1"/>
  <c r="I24" i="4"/>
  <c r="K24" i="4" s="1"/>
  <c r="C158" i="4"/>
  <c r="I158" i="4" s="1"/>
  <c r="O428" i="3"/>
  <c r="C139" i="4"/>
  <c r="I139" i="4" s="1"/>
  <c r="N914" i="3"/>
  <c r="N908" i="3"/>
  <c r="P212" i="3"/>
  <c r="P398" i="3"/>
  <c r="H864" i="3"/>
  <c r="H854" i="3"/>
  <c r="P150" i="3"/>
  <c r="P208" i="3"/>
  <c r="P329" i="3"/>
  <c r="D831" i="3"/>
  <c r="D844" i="3"/>
  <c r="P375" i="3"/>
  <c r="P397" i="3" s="1"/>
  <c r="D768" i="3"/>
  <c r="P613" i="3"/>
  <c r="M502" i="3"/>
  <c r="C172" i="4" s="1"/>
  <c r="I172" i="4" s="1"/>
  <c r="N300" i="3"/>
  <c r="C93" i="4" s="1"/>
  <c r="I93" i="4" s="1"/>
  <c r="G195" i="3"/>
  <c r="C54" i="4" s="1"/>
  <c r="I54" i="4" s="1"/>
  <c r="P204" i="3"/>
  <c r="P626" i="3"/>
  <c r="P634" i="3"/>
  <c r="G639" i="3"/>
  <c r="C230" i="4" s="1"/>
  <c r="I230" i="4" s="1"/>
  <c r="E785" i="3"/>
  <c r="P221" i="3"/>
  <c r="O908" i="3"/>
  <c r="E154" i="3"/>
  <c r="P154" i="3" s="1"/>
  <c r="K785" i="3"/>
  <c r="P358" i="3"/>
  <c r="F908" i="3"/>
  <c r="I28" i="4"/>
  <c r="K28" i="4" s="1"/>
  <c r="P224" i="3"/>
  <c r="I908" i="3"/>
  <c r="L914" i="3"/>
  <c r="N538" i="3"/>
  <c r="C189" i="4" s="1"/>
  <c r="I189" i="4" s="1"/>
  <c r="F538" i="3"/>
  <c r="C181" i="4" s="1"/>
  <c r="I181" i="4" s="1"/>
  <c r="K467" i="3"/>
  <c r="C154" i="4" s="1"/>
  <c r="I154" i="4" s="1"/>
  <c r="N390" i="3"/>
  <c r="C125" i="4" s="1"/>
  <c r="I125" i="4" s="1"/>
  <c r="D253" i="3"/>
  <c r="C67" i="4" s="1"/>
  <c r="I67" i="4" s="1"/>
  <c r="D817" i="3"/>
  <c r="I29" i="4"/>
  <c r="K29" i="4" s="1"/>
  <c r="O253" i="3"/>
  <c r="C78" i="4" s="1"/>
  <c r="I78" i="4" s="1"/>
  <c r="P207" i="3"/>
  <c r="P166" i="3"/>
  <c r="D842" i="3"/>
  <c r="N467" i="3"/>
  <c r="O300" i="3"/>
  <c r="C94" i="4" s="1"/>
  <c r="I94" i="4" s="1"/>
  <c r="P180" i="3"/>
  <c r="H914" i="3"/>
  <c r="I20" i="4"/>
  <c r="K20" i="4" s="1"/>
  <c r="P101" i="3"/>
  <c r="P167" i="3"/>
  <c r="D783" i="3"/>
  <c r="I337" i="3"/>
  <c r="I351" i="3" s="1"/>
  <c r="C104" i="4" s="1"/>
  <c r="I104" i="4" s="1"/>
  <c r="D885" i="3"/>
  <c r="P607" i="3"/>
  <c r="G574" i="3"/>
  <c r="C198" i="4" s="1"/>
  <c r="I198" i="4" s="1"/>
  <c r="P560" i="3"/>
  <c r="I467" i="3"/>
  <c r="I428" i="3" s="1"/>
  <c r="P462" i="3"/>
  <c r="M467" i="3"/>
  <c r="E467" i="3"/>
  <c r="C148" i="4" s="1"/>
  <c r="I148" i="4" s="1"/>
  <c r="P453" i="3"/>
  <c r="E427" i="3"/>
  <c r="C132" i="4" s="1"/>
  <c r="I132" i="4" s="1"/>
  <c r="D427" i="3"/>
  <c r="C131" i="4" s="1"/>
  <c r="I131" i="4" s="1"/>
  <c r="P422" i="3"/>
  <c r="J662" i="3"/>
  <c r="C249" i="4" s="1"/>
  <c r="I249" i="4" s="1"/>
  <c r="O662" i="3"/>
  <c r="C254" i="4" s="1"/>
  <c r="I254" i="4" s="1"/>
  <c r="G819" i="3"/>
  <c r="G864" i="3"/>
  <c r="P157" i="3"/>
  <c r="P211" i="3"/>
  <c r="M351" i="3"/>
  <c r="C108" i="4" s="1"/>
  <c r="I108" i="4" s="1"/>
  <c r="J574" i="3"/>
  <c r="C201" i="4" s="1"/>
  <c r="I201" i="4" s="1"/>
  <c r="F574" i="3"/>
  <c r="C197" i="4" s="1"/>
  <c r="I197" i="4" s="1"/>
  <c r="H502" i="3"/>
  <c r="C167" i="4" s="1"/>
  <c r="I167" i="4" s="1"/>
  <c r="H467" i="3"/>
  <c r="C151" i="4" s="1"/>
  <c r="I151" i="4" s="1"/>
  <c r="D467" i="3"/>
  <c r="C147" i="4" s="1"/>
  <c r="I147" i="4" s="1"/>
  <c r="K427" i="3"/>
  <c r="N427" i="3"/>
  <c r="P295" i="3"/>
  <c r="P300" i="3" s="1"/>
  <c r="E300" i="3"/>
  <c r="C84" i="4" s="1"/>
  <c r="I84" i="4" s="1"/>
  <c r="N706" i="3"/>
  <c r="C285" i="4" s="1"/>
  <c r="I285" i="4" s="1"/>
  <c r="P133" i="3"/>
  <c r="P158" i="3"/>
  <c r="G884" i="3"/>
  <c r="G914" i="3" s="1"/>
  <c r="M377" i="3"/>
  <c r="M390" i="3" s="1"/>
  <c r="C124" i="4" s="1"/>
  <c r="I124" i="4" s="1"/>
  <c r="O608" i="3"/>
  <c r="C222" i="4" s="1"/>
  <c r="I222" i="4" s="1"/>
  <c r="F608" i="3"/>
  <c r="C213" i="4" s="1"/>
  <c r="I213" i="4" s="1"/>
  <c r="M574" i="3"/>
  <c r="C204" i="4" s="1"/>
  <c r="I204" i="4" s="1"/>
  <c r="K502" i="3"/>
  <c r="C170" i="4" s="1"/>
  <c r="I170" i="4" s="1"/>
  <c r="P497" i="3"/>
  <c r="O502" i="3"/>
  <c r="C174" i="4" s="1"/>
  <c r="I174" i="4" s="1"/>
  <c r="G502" i="3"/>
  <c r="C166" i="4" s="1"/>
  <c r="I166" i="4" s="1"/>
  <c r="F427" i="3"/>
  <c r="J351" i="3"/>
  <c r="C105" i="4" s="1"/>
  <c r="I105" i="4" s="1"/>
  <c r="P340" i="3"/>
  <c r="P346" i="3" s="1"/>
  <c r="G351" i="3"/>
  <c r="C102" i="4" s="1"/>
  <c r="I102" i="4" s="1"/>
  <c r="P353" i="3"/>
  <c r="L253" i="3"/>
  <c r="C75" i="4" s="1"/>
  <c r="I75" i="4" s="1"/>
  <c r="L195" i="3"/>
  <c r="C59" i="4" s="1"/>
  <c r="I59" i="4" s="1"/>
  <c r="D706" i="3"/>
  <c r="C275" i="4" s="1"/>
  <c r="I275" i="4" s="1"/>
  <c r="K134" i="3"/>
  <c r="C42" i="4" s="1"/>
  <c r="I42" i="4" s="1"/>
  <c r="P105" i="3"/>
  <c r="P92" i="3"/>
  <c r="D102" i="3"/>
  <c r="P102" i="3" s="1"/>
  <c r="P393" i="3"/>
  <c r="M428" i="3"/>
  <c r="C156" i="4"/>
  <c r="I156" i="4" s="1"/>
  <c r="P238" i="3"/>
  <c r="P253" i="3" s="1"/>
  <c r="P610" i="3"/>
  <c r="J538" i="3"/>
  <c r="C185" i="4" s="1"/>
  <c r="I185" i="4" s="1"/>
  <c r="G390" i="3"/>
  <c r="C118" i="4" s="1"/>
  <c r="I118" i="4" s="1"/>
  <c r="P323" i="3"/>
  <c r="P322" i="3" s="1"/>
  <c r="P266" i="3"/>
  <c r="F195" i="3"/>
  <c r="C53" i="4" s="1"/>
  <c r="I53" i="4" s="1"/>
  <c r="P638" i="3"/>
  <c r="P225" i="3"/>
  <c r="D805" i="3"/>
  <c r="K346" i="3"/>
  <c r="K351" i="3" s="1"/>
  <c r="C106" i="4" s="1"/>
  <c r="I106" i="4" s="1"/>
  <c r="J427" i="3"/>
  <c r="P364" i="3"/>
  <c r="P311" i="3"/>
  <c r="P256" i="3"/>
  <c r="P488" i="3"/>
  <c r="P569" i="3"/>
  <c r="E390" i="3"/>
  <c r="C116" i="4" s="1"/>
  <c r="I116" i="4" s="1"/>
  <c r="N677" i="3"/>
  <c r="N682" i="3" s="1"/>
  <c r="C269" i="4" s="1"/>
  <c r="I269" i="4" s="1"/>
  <c r="P674" i="3"/>
  <c r="P677" i="3" s="1"/>
  <c r="D852" i="3"/>
  <c r="J853" i="3"/>
  <c r="D889" i="3"/>
  <c r="D892" i="3" s="1"/>
  <c r="M892" i="3"/>
  <c r="G428" i="3"/>
  <c r="P413" i="3"/>
  <c r="K574" i="3"/>
  <c r="C202" i="4" s="1"/>
  <c r="I202" i="4" s="1"/>
  <c r="M538" i="3"/>
  <c r="C188" i="4" s="1"/>
  <c r="I188" i="4" s="1"/>
  <c r="P426" i="3"/>
  <c r="P319" i="3"/>
  <c r="D318" i="3"/>
  <c r="P318" i="3" s="1"/>
  <c r="P262" i="3"/>
  <c r="I850" i="3"/>
  <c r="D848" i="3"/>
  <c r="P159" i="3"/>
  <c r="C135" i="4"/>
  <c r="I135" i="4" s="1"/>
  <c r="P355" i="3"/>
  <c r="J854" i="3"/>
  <c r="G854" i="3"/>
  <c r="L337" i="3"/>
  <c r="L351" i="3" s="1"/>
  <c r="C107" i="4" s="1"/>
  <c r="I107" i="4" s="1"/>
  <c r="L362" i="3"/>
  <c r="P661" i="3"/>
  <c r="P864" i="3"/>
  <c r="P854" i="3"/>
  <c r="P163" i="3"/>
  <c r="I502" i="3"/>
  <c r="C168" i="4" s="1"/>
  <c r="I168" i="4" s="1"/>
  <c r="D195" i="3"/>
  <c r="C51" i="4" s="1"/>
  <c r="I51" i="4" s="1"/>
  <c r="D863" i="3"/>
  <c r="P89" i="3"/>
  <c r="P97" i="3"/>
  <c r="E56" i="2"/>
  <c r="K58" i="2"/>
  <c r="F56" i="2"/>
  <c r="F12" i="2"/>
  <c r="F53" i="2"/>
  <c r="F43" i="2"/>
  <c r="F16" i="2"/>
  <c r="F8" i="2"/>
  <c r="E43" i="2"/>
  <c r="E16" i="2"/>
  <c r="E15" i="2"/>
  <c r="J10" i="2"/>
  <c r="C303" i="4"/>
  <c r="I294" i="4"/>
  <c r="I303" i="4" s="1"/>
  <c r="G24" i="2"/>
  <c r="E6" i="2"/>
  <c r="E12" i="2"/>
  <c r="E7" i="2"/>
  <c r="P77" i="3"/>
  <c r="P106" i="3"/>
  <c r="P74" i="3"/>
  <c r="P98" i="3"/>
  <c r="P93" i="3"/>
  <c r="J43" i="2" s="1"/>
  <c r="J14" i="2"/>
  <c r="P85" i="3"/>
  <c r="E52" i="2"/>
  <c r="E8" i="2"/>
  <c r="E20" i="2"/>
  <c r="D46" i="2"/>
  <c r="D47" i="2" s="1"/>
  <c r="E47" i="2" s="1"/>
  <c r="E55" i="2"/>
  <c r="G13" i="2"/>
  <c r="E17" i="2"/>
  <c r="G21" i="2"/>
  <c r="I24" i="2"/>
  <c r="E18" i="2"/>
  <c r="J55" i="2"/>
  <c r="J52" i="2"/>
  <c r="I49" i="2"/>
  <c r="J49" i="2" s="1"/>
  <c r="J17" i="2"/>
  <c r="E22" i="2"/>
  <c r="J15" i="2"/>
  <c r="I46" i="2"/>
  <c r="I47" i="2" s="1"/>
  <c r="J47" i="2" s="1"/>
  <c r="I21" i="2"/>
  <c r="D24" i="2"/>
  <c r="P66" i="3"/>
  <c r="J39" i="2"/>
  <c r="J9" i="2"/>
  <c r="I36" i="2"/>
  <c r="J36" i="2" s="1"/>
  <c r="E36" i="2"/>
  <c r="I13" i="2"/>
  <c r="E19" i="2"/>
  <c r="E9" i="2"/>
  <c r="D49" i="2"/>
  <c r="E49" i="2" s="1"/>
  <c r="D21" i="2"/>
  <c r="E14" i="2"/>
  <c r="D13" i="2"/>
  <c r="K7" i="1"/>
  <c r="E39" i="2"/>
  <c r="E42" i="2"/>
  <c r="E11" i="2"/>
  <c r="E10" i="2"/>
  <c r="D44" i="2"/>
  <c r="J18" i="2"/>
  <c r="K21" i="2"/>
  <c r="K24" i="2"/>
  <c r="J22" i="2"/>
  <c r="K13" i="2"/>
  <c r="J42" i="2"/>
  <c r="K44" i="2"/>
  <c r="G31" i="2" l="1"/>
  <c r="E31" i="2" s="1"/>
  <c r="E29" i="2"/>
  <c r="H31" i="2"/>
  <c r="F31" i="2" s="1"/>
  <c r="F29" i="2"/>
  <c r="H27" i="2"/>
  <c r="F27" i="2" s="1"/>
  <c r="F25" i="2"/>
  <c r="L428" i="3"/>
  <c r="P134" i="3"/>
  <c r="P467" i="3"/>
  <c r="D819" i="3"/>
  <c r="P639" i="3"/>
  <c r="E10" i="1"/>
  <c r="F10" i="1" s="1"/>
  <c r="F8" i="1"/>
  <c r="G10" i="1"/>
  <c r="H8" i="1"/>
  <c r="I271" i="4"/>
  <c r="I239" i="4"/>
  <c r="P337" i="3"/>
  <c r="G908" i="3"/>
  <c r="P377" i="3"/>
  <c r="P390" i="3" s="1"/>
  <c r="D908" i="3"/>
  <c r="D914" i="3" s="1"/>
  <c r="D428" i="3"/>
  <c r="I47" i="4"/>
  <c r="P608" i="3"/>
  <c r="P195" i="3"/>
  <c r="P82" i="3"/>
  <c r="P662" i="3"/>
  <c r="P351" i="3"/>
  <c r="P682" i="3"/>
  <c r="I287" i="4"/>
  <c r="I255" i="4"/>
  <c r="P427" i="3"/>
  <c r="C152" i="4"/>
  <c r="I152" i="4" s="1"/>
  <c r="D785" i="3"/>
  <c r="P574" i="3"/>
  <c r="I207" i="4"/>
  <c r="C95" i="4"/>
  <c r="K28" i="2"/>
  <c r="I28" i="2"/>
  <c r="I32" i="2" s="1"/>
  <c r="D28" i="2"/>
  <c r="D32" i="2" s="1"/>
  <c r="G28" i="2"/>
  <c r="I30" i="4"/>
  <c r="K30" i="4" s="1"/>
  <c r="I19" i="4"/>
  <c r="K19" i="4" s="1"/>
  <c r="E6" i="1"/>
  <c r="I22" i="4"/>
  <c r="K22" i="4" s="1"/>
  <c r="I223" i="4"/>
  <c r="C287" i="4"/>
  <c r="I175" i="4"/>
  <c r="C47" i="4"/>
  <c r="C239" i="4"/>
  <c r="I95" i="4"/>
  <c r="C255" i="4"/>
  <c r="C223" i="4"/>
  <c r="M468" i="3"/>
  <c r="H428" i="3"/>
  <c r="I111" i="4"/>
  <c r="I127" i="4"/>
  <c r="C157" i="4"/>
  <c r="I157" i="4" s="1"/>
  <c r="N468" i="3"/>
  <c r="C79" i="4"/>
  <c r="E428" i="3"/>
  <c r="N428" i="3"/>
  <c r="C141" i="4"/>
  <c r="I141" i="4" s="1"/>
  <c r="O468" i="3"/>
  <c r="F428" i="3"/>
  <c r="C133" i="4"/>
  <c r="I133" i="4" s="1"/>
  <c r="C138" i="4"/>
  <c r="I138" i="4" s="1"/>
  <c r="K428" i="3"/>
  <c r="I79" i="4"/>
  <c r="P502" i="3"/>
  <c r="C111" i="4"/>
  <c r="I191" i="4"/>
  <c r="C271" i="4"/>
  <c r="C175" i="4"/>
  <c r="C207" i="4"/>
  <c r="C127" i="4"/>
  <c r="I63" i="4"/>
  <c r="C191" i="4"/>
  <c r="H7" i="1"/>
  <c r="D853" i="3"/>
  <c r="J864" i="3"/>
  <c r="M908" i="3"/>
  <c r="M914" i="3"/>
  <c r="J428" i="3"/>
  <c r="C137" i="4"/>
  <c r="C63" i="4"/>
  <c r="I854" i="3"/>
  <c r="D854" i="3" s="1"/>
  <c r="D850" i="3"/>
  <c r="I864" i="3"/>
  <c r="D864" i="3" s="1"/>
  <c r="H36" i="2"/>
  <c r="F36" i="2" s="1"/>
  <c r="G58" i="2"/>
  <c r="G44" i="2"/>
  <c r="E44" i="2" s="1"/>
  <c r="E37" i="2"/>
  <c r="E13" i="2"/>
  <c r="E24" i="2"/>
  <c r="J44" i="2"/>
  <c r="E21" i="2"/>
  <c r="C31" i="4"/>
  <c r="J24" i="2"/>
  <c r="J21" i="2"/>
  <c r="E46" i="2"/>
  <c r="D58" i="2"/>
  <c r="F49" i="2"/>
  <c r="I58" i="2"/>
  <c r="J58" i="2" s="1"/>
  <c r="J46" i="2"/>
  <c r="J13" i="2"/>
  <c r="H52" i="2"/>
  <c r="F52" i="2" s="1"/>
  <c r="F18" i="2"/>
  <c r="E40" i="2"/>
  <c r="H55" i="2"/>
  <c r="F55" i="2" s="1"/>
  <c r="H24" i="2"/>
  <c r="F24" i="2" s="1"/>
  <c r="F15" i="2"/>
  <c r="H46" i="2"/>
  <c r="H13" i="2"/>
  <c r="F6" i="2"/>
  <c r="F22" i="2"/>
  <c r="H39" i="2"/>
  <c r="F39" i="2" s="1"/>
  <c r="F10" i="2"/>
  <c r="H21" i="2"/>
  <c r="F21" i="2" s="1"/>
  <c r="F14" i="2"/>
  <c r="H42" i="2"/>
  <c r="F17" i="2"/>
  <c r="G32" i="2" l="1"/>
  <c r="E32" i="2" s="1"/>
  <c r="K32" i="2"/>
  <c r="J6" i="1"/>
  <c r="E11" i="1"/>
  <c r="F11" i="1" s="1"/>
  <c r="H10" i="1"/>
  <c r="G11" i="1"/>
  <c r="I159" i="4"/>
  <c r="I31" i="4"/>
  <c r="H28" i="2"/>
  <c r="C159" i="4"/>
  <c r="I137" i="4"/>
  <c r="I143" i="4" s="1"/>
  <c r="C143" i="4"/>
  <c r="H6" i="1"/>
  <c r="F6" i="1"/>
  <c r="E58" i="2"/>
  <c r="J32" i="2"/>
  <c r="E28" i="2"/>
  <c r="H58" i="2"/>
  <c r="F58" i="2" s="1"/>
  <c r="J28" i="2"/>
  <c r="F42" i="2"/>
  <c r="H44" i="2"/>
  <c r="F44" i="2" s="1"/>
  <c r="F13" i="2"/>
  <c r="H47" i="2"/>
  <c r="F47" i="2" s="1"/>
  <c r="F46" i="2"/>
  <c r="K6" i="1" l="1"/>
  <c r="J11" i="1"/>
  <c r="K11" i="1" s="1"/>
  <c r="H11" i="1"/>
  <c r="F28" i="2"/>
  <c r="H32" i="2"/>
  <c r="F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류지형</author>
    <author>HMC</author>
    <author>제은섭</author>
  </authors>
  <commentList>
    <comment ref="C41" authorId="0" shapeId="0" xr:uid="{BBDCEE03-BF38-4933-AFCB-5B29144D6747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EV </t>
        </r>
        <r>
          <rPr>
            <sz val="9"/>
            <color indexed="81"/>
            <rFont val="돋움"/>
            <family val="3"/>
            <charset val="129"/>
          </rPr>
          <t>기반</t>
        </r>
      </text>
    </comment>
    <comment ref="D93" authorId="0" shapeId="0" xr:uid="{00000000-0006-0000-0200-000001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D94" authorId="0" shapeId="0" xr:uid="{00000000-0006-0000-0200-000002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E94" authorId="0" shapeId="0" xr:uid="{00000000-0006-0000-0200-000003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F94" authorId="0" shapeId="0" xr:uid="{00000000-0006-0000-0200-000004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G94" authorId="0" shapeId="0" xr:uid="{00000000-0006-0000-0200-000005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H94" authorId="0" shapeId="0" xr:uid="{00000000-0006-0000-0200-000006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</text>
    </comment>
    <comment ref="C95" authorId="0" shapeId="0" xr:uid="{00000000-0006-0000-0200-000007000000}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세대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니로</t>
        </r>
        <r>
          <rPr>
            <sz val="9"/>
            <color indexed="81"/>
            <rFont val="Tahoma"/>
            <family val="2"/>
          </rPr>
          <t xml:space="preserve"> EV </t>
        </r>
        <r>
          <rPr>
            <sz val="9"/>
            <color indexed="81"/>
            <rFont val="돋움"/>
            <family val="3"/>
            <charset val="129"/>
          </rPr>
          <t>기반</t>
        </r>
      </text>
    </comment>
    <comment ref="H281" authorId="1" shapeId="0" xr:uid="{00000000-0006-0000-0200-000008000000}">
      <text>
        <r>
          <rPr>
            <b/>
            <sz val="7"/>
            <color indexed="81"/>
            <rFont val="맑은 고딕"/>
            <family val="3"/>
            <charset val="129"/>
          </rPr>
          <t>구형 K5 1대 포함</t>
        </r>
      </text>
    </comment>
    <comment ref="L374" authorId="1" shapeId="0" xr:uid="{00000000-0006-0000-0200-000009000000}">
      <text>
        <r>
          <rPr>
            <sz val="7"/>
            <color indexed="81"/>
            <rFont val="맑은 고딕"/>
            <family val="3"/>
            <charset val="129"/>
          </rPr>
          <t>구형 K5 HEV -1대 포함</t>
        </r>
      </text>
    </comment>
    <comment ref="O374" authorId="1" shapeId="0" xr:uid="{00000000-0006-0000-0200-00000A000000}">
      <text>
        <r>
          <rPr>
            <sz val="7.5"/>
            <color indexed="81"/>
            <rFont val="맑은 고딕"/>
            <family val="3"/>
            <charset val="129"/>
          </rPr>
          <t>구형 K5(TF) HEV -1 포함</t>
        </r>
      </text>
    </comment>
    <comment ref="I382" authorId="1" shapeId="0" xr:uid="{00000000-0006-0000-0200-00000B000000}">
      <text>
        <r>
          <rPr>
            <b/>
            <sz val="7.5"/>
            <color indexed="81"/>
            <rFont val="맑은 고딕"/>
            <family val="3"/>
            <charset val="129"/>
          </rPr>
          <t>구형</t>
        </r>
        <r>
          <rPr>
            <b/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J382" authorId="1" shapeId="0" xr:uid="{00000000-0006-0000-0200-00000C000000}">
      <text>
        <r>
          <rPr>
            <sz val="7.5"/>
            <color indexed="81"/>
            <rFont val="맑은 고딕"/>
            <family val="3"/>
            <charset val="129"/>
          </rPr>
          <t>구형(SL) 1대 포함</t>
        </r>
      </text>
    </comment>
    <comment ref="N382" authorId="1" shapeId="0" xr:uid="{00000000-0006-0000-0200-00000D000000}">
      <text>
        <r>
          <rPr>
            <sz val="7.5"/>
            <color indexed="81"/>
            <rFont val="맑은 고딕"/>
            <family val="3"/>
            <charset val="129"/>
          </rPr>
          <t>구형</t>
        </r>
        <r>
          <rPr>
            <sz val="7.5"/>
            <color indexed="81"/>
            <rFont val="맑은 고딕"/>
            <family val="3"/>
            <charset val="129"/>
          </rPr>
          <t>(SL) -1대 포함</t>
        </r>
      </text>
    </comment>
    <comment ref="O382" authorId="1" shapeId="0" xr:uid="{00000000-0006-0000-0200-00000E000000}">
      <text>
        <r>
          <rPr>
            <sz val="7.5"/>
            <color indexed="81"/>
            <rFont val="맑은 고딕"/>
            <family val="3"/>
            <charset val="129"/>
          </rPr>
          <t>구형 SL 1대 포함</t>
        </r>
      </text>
    </comment>
    <comment ref="M902" authorId="2" shapeId="0" xr:uid="{00000000-0006-0000-0200-00000F000000}">
      <text>
        <r>
          <rPr>
            <b/>
            <sz val="9"/>
            <color indexed="81"/>
            <rFont val="굴림"/>
            <family val="3"/>
            <charset val="129"/>
          </rPr>
          <t>제은섭:</t>
        </r>
        <r>
          <rPr>
            <sz val="9"/>
            <color indexed="81"/>
            <rFont val="굴림"/>
            <family val="3"/>
            <charset val="129"/>
          </rPr>
          <t xml:space="preserve">
군수 BV206 1대 추가
매출 129.5백만원
</t>
        </r>
      </text>
    </comment>
  </commentList>
</comments>
</file>

<file path=xl/sharedStrings.xml><?xml version="1.0" encoding="utf-8"?>
<sst xmlns="http://schemas.openxmlformats.org/spreadsheetml/2006/main" count="1237" uniqueCount="374">
  <si>
    <t xml:space="preserve">              </t>
  </si>
  <si>
    <t>구분</t>
    <phoneticPr fontId="2" type="noConversion"/>
  </si>
  <si>
    <t>전년동월
대비</t>
    <phoneticPr fontId="2" type="noConversion"/>
  </si>
  <si>
    <t>전월
대비</t>
    <phoneticPr fontId="2" type="noConversion"/>
  </si>
  <si>
    <t>연간누계
대비</t>
    <phoneticPr fontId="2" type="noConversion"/>
  </si>
  <si>
    <t>국내</t>
    <phoneticPr fontId="2" type="noConversion"/>
  </si>
  <si>
    <t>계</t>
    <phoneticPr fontId="2" type="noConversion"/>
  </si>
  <si>
    <t>구    분</t>
    <phoneticPr fontId="2" type="noConversion"/>
  </si>
  <si>
    <t>전년
동월대비</t>
    <phoneticPr fontId="2" type="noConversion"/>
  </si>
  <si>
    <t>연간누계</t>
    <phoneticPr fontId="2" type="noConversion"/>
  </si>
  <si>
    <t>전년
누계대비</t>
    <phoneticPr fontId="2" type="noConversion"/>
  </si>
  <si>
    <t>승용</t>
    <phoneticPr fontId="2" type="noConversion"/>
  </si>
  <si>
    <t>RV</t>
    <phoneticPr fontId="2" type="noConversion"/>
  </si>
  <si>
    <t>상용</t>
    <phoneticPr fontId="2" type="noConversion"/>
  </si>
  <si>
    <t>국내판매</t>
    <phoneticPr fontId="2" type="noConversion"/>
  </si>
  <si>
    <t>해외판매</t>
    <phoneticPr fontId="2" type="noConversion"/>
  </si>
  <si>
    <t>하이브리드</t>
    <phoneticPr fontId="2" type="noConversion"/>
  </si>
  <si>
    <t>K5 (계)</t>
    <phoneticPr fontId="2" type="noConversion"/>
  </si>
  <si>
    <t>◆ 차종별 실적 - 국내판매</t>
    <phoneticPr fontId="2" type="noConversion"/>
  </si>
  <si>
    <t>차    종</t>
    <phoneticPr fontId="2" type="noConversion"/>
  </si>
  <si>
    <t>승
용</t>
    <phoneticPr fontId="2" type="noConversion"/>
  </si>
  <si>
    <t>모닝(구)</t>
    <phoneticPr fontId="2" type="noConversion"/>
  </si>
  <si>
    <t>모닝</t>
    <phoneticPr fontId="2" type="noConversion"/>
  </si>
  <si>
    <t>프라이드</t>
    <phoneticPr fontId="2" type="noConversion"/>
  </si>
  <si>
    <t>포르테</t>
    <phoneticPr fontId="2" type="noConversion"/>
  </si>
  <si>
    <t>로체</t>
    <phoneticPr fontId="2" type="noConversion"/>
  </si>
  <si>
    <t>K5</t>
    <phoneticPr fontId="2" type="noConversion"/>
  </si>
  <si>
    <t>K7</t>
    <phoneticPr fontId="2" type="noConversion"/>
  </si>
  <si>
    <t>오피러스</t>
    <phoneticPr fontId="2" type="noConversion"/>
  </si>
  <si>
    <t>카렌스</t>
    <phoneticPr fontId="2" type="noConversion"/>
  </si>
  <si>
    <t>카니발</t>
    <phoneticPr fontId="2" type="noConversion"/>
  </si>
  <si>
    <t>쏘울</t>
    <phoneticPr fontId="2" type="noConversion"/>
  </si>
  <si>
    <t>스포티지(구)</t>
    <phoneticPr fontId="2" type="noConversion"/>
  </si>
  <si>
    <t>스포티지R</t>
    <phoneticPr fontId="2" type="noConversion"/>
  </si>
  <si>
    <t>쏘렌토R</t>
    <phoneticPr fontId="2" type="noConversion"/>
  </si>
  <si>
    <t>모하비</t>
    <phoneticPr fontId="2" type="noConversion"/>
  </si>
  <si>
    <t>상
용
특
수</t>
    <phoneticPr fontId="2" type="noConversion"/>
  </si>
  <si>
    <t>트럭</t>
    <phoneticPr fontId="2" type="noConversion"/>
  </si>
  <si>
    <t>버스</t>
    <phoneticPr fontId="2" type="noConversion"/>
  </si>
  <si>
    <t>특수</t>
    <phoneticPr fontId="2" type="noConversion"/>
  </si>
  <si>
    <t>총      계</t>
    <phoneticPr fontId="2" type="noConversion"/>
  </si>
  <si>
    <t>※ 2010년</t>
    <phoneticPr fontId="2" type="noConversion"/>
  </si>
  <si>
    <t>2010년</t>
    <phoneticPr fontId="2" type="noConversion"/>
  </si>
  <si>
    <t>프라이드(구)</t>
    <phoneticPr fontId="2" type="noConversion"/>
  </si>
  <si>
    <t>레이</t>
    <phoneticPr fontId="2" type="noConversion"/>
  </si>
  <si>
    <t>레이</t>
    <phoneticPr fontId="2" type="noConversion"/>
  </si>
  <si>
    <t>K9</t>
    <phoneticPr fontId="2" type="noConversion"/>
  </si>
  <si>
    <t>K9</t>
    <phoneticPr fontId="2" type="noConversion"/>
  </si>
  <si>
    <t>K3</t>
    <phoneticPr fontId="2" type="noConversion"/>
  </si>
  <si>
    <t>※ 2013년</t>
    <phoneticPr fontId="2" type="noConversion"/>
  </si>
  <si>
    <t>※ 2012년</t>
    <phoneticPr fontId="2" type="noConversion"/>
  </si>
  <si>
    <t>※ 2011년</t>
    <phoneticPr fontId="2" type="noConversion"/>
  </si>
  <si>
    <t>2012년</t>
    <phoneticPr fontId="2" type="noConversion"/>
  </si>
  <si>
    <t>2013년</t>
    <phoneticPr fontId="2" type="noConversion"/>
  </si>
  <si>
    <t>카렌스(구)</t>
    <phoneticPr fontId="2" type="noConversion"/>
  </si>
  <si>
    <t>신형카렌스</t>
    <phoneticPr fontId="2" type="noConversion"/>
  </si>
  <si>
    <t>신형쏘울</t>
    <phoneticPr fontId="2" type="noConversion"/>
  </si>
  <si>
    <t>K7</t>
    <phoneticPr fontId="2" type="noConversion"/>
  </si>
  <si>
    <t>※ 2014년</t>
    <phoneticPr fontId="2" type="noConversion"/>
  </si>
  <si>
    <t>신형카니발</t>
    <phoneticPr fontId="2" type="noConversion"/>
  </si>
  <si>
    <t>카니발(구)</t>
    <phoneticPr fontId="2" type="noConversion"/>
  </si>
  <si>
    <t>카니발(구)</t>
    <phoneticPr fontId="2" type="noConversion"/>
  </si>
  <si>
    <t>신형쏘렌토</t>
    <phoneticPr fontId="2" type="noConversion"/>
  </si>
  <si>
    <t>쏘렌토R(구)</t>
    <phoneticPr fontId="2" type="noConversion"/>
  </si>
  <si>
    <t>2015년</t>
    <phoneticPr fontId="2" type="noConversion"/>
  </si>
  <si>
    <t>※ 2015년</t>
    <phoneticPr fontId="2" type="noConversion"/>
  </si>
  <si>
    <t>모닝</t>
    <phoneticPr fontId="2" type="noConversion"/>
  </si>
  <si>
    <t>모하비</t>
    <phoneticPr fontId="2" type="noConversion"/>
  </si>
  <si>
    <t>버스</t>
    <phoneticPr fontId="2" type="noConversion"/>
  </si>
  <si>
    <t>K5</t>
    <phoneticPr fontId="2" type="noConversion"/>
  </si>
  <si>
    <t>TF</t>
    <phoneticPr fontId="2" type="noConversion"/>
  </si>
  <si>
    <t>JF</t>
    <phoneticPr fontId="2" type="noConversion"/>
  </si>
  <si>
    <t>K5</t>
    <phoneticPr fontId="2" type="noConversion"/>
  </si>
  <si>
    <t>스포티지</t>
    <phoneticPr fontId="2" type="noConversion"/>
  </si>
  <si>
    <t>QL</t>
    <phoneticPr fontId="2" type="noConversion"/>
  </si>
  <si>
    <t>스포티지</t>
    <phoneticPr fontId="2" type="noConversion"/>
  </si>
  <si>
    <t>SL</t>
    <phoneticPr fontId="2" type="noConversion"/>
  </si>
  <si>
    <t>VG</t>
    <phoneticPr fontId="2" type="noConversion"/>
  </si>
  <si>
    <t>VG</t>
    <phoneticPr fontId="2" type="noConversion"/>
  </si>
  <si>
    <t>VG하이브리드</t>
    <phoneticPr fontId="2" type="noConversion"/>
  </si>
  <si>
    <t>TF하이브리드</t>
    <phoneticPr fontId="2" type="noConversion"/>
  </si>
  <si>
    <t>2016년</t>
    <phoneticPr fontId="2" type="noConversion"/>
  </si>
  <si>
    <t>※ 2016년</t>
    <phoneticPr fontId="2" type="noConversion"/>
  </si>
  <si>
    <t>쏘렌토</t>
    <phoneticPr fontId="2" type="noConversion"/>
  </si>
  <si>
    <t>쏘렌토</t>
    <phoneticPr fontId="2" type="noConversion"/>
  </si>
  <si>
    <t>YG</t>
    <phoneticPr fontId="2" type="noConversion"/>
  </si>
  <si>
    <t>니로</t>
    <phoneticPr fontId="2" type="noConversion"/>
  </si>
  <si>
    <t>니로</t>
    <phoneticPr fontId="2" type="noConversion"/>
  </si>
  <si>
    <t>차  종</t>
    <phoneticPr fontId="2" type="noConversion"/>
  </si>
  <si>
    <t>TF HEV</t>
    <phoneticPr fontId="2" type="noConversion"/>
  </si>
  <si>
    <t>JF HEV</t>
    <phoneticPr fontId="2" type="noConversion"/>
  </si>
  <si>
    <t>니로 (계)</t>
    <phoneticPr fontId="2" type="noConversion"/>
  </si>
  <si>
    <t>TF HEV</t>
    <phoneticPr fontId="2" type="noConversion"/>
  </si>
  <si>
    <t>VG HEV</t>
    <phoneticPr fontId="2" type="noConversion"/>
  </si>
  <si>
    <t>TF HEV</t>
    <phoneticPr fontId="2" type="noConversion"/>
  </si>
  <si>
    <t>JF HEV</t>
    <phoneticPr fontId="2" type="noConversion"/>
  </si>
  <si>
    <t>YG HEV</t>
    <phoneticPr fontId="2" type="noConversion"/>
  </si>
  <si>
    <t>2017년</t>
    <phoneticPr fontId="2" type="noConversion"/>
  </si>
  <si>
    <t>※ 2017년</t>
    <phoneticPr fontId="2" type="noConversion"/>
  </si>
  <si>
    <t>구형 모닝(TA)</t>
    <phoneticPr fontId="2" type="noConversion"/>
  </si>
  <si>
    <t>신형 모닝(JA)</t>
    <phoneticPr fontId="2" type="noConversion"/>
  </si>
  <si>
    <t>스팅어</t>
    <phoneticPr fontId="2" type="noConversion"/>
  </si>
  <si>
    <t>스팅어</t>
    <phoneticPr fontId="2" type="noConversion"/>
  </si>
  <si>
    <t xml:space="preserve">  </t>
    <phoneticPr fontId="2" type="noConversion"/>
  </si>
  <si>
    <t>스토닉</t>
    <phoneticPr fontId="2" type="noConversion"/>
  </si>
  <si>
    <t>해외</t>
    <phoneticPr fontId="2" type="noConversion"/>
  </si>
  <si>
    <t>구분</t>
    <phoneticPr fontId="2" type="noConversion"/>
  </si>
  <si>
    <t>2018년</t>
    <phoneticPr fontId="2" type="noConversion"/>
  </si>
  <si>
    <t>※ 2018년</t>
    <phoneticPr fontId="2" type="noConversion"/>
  </si>
  <si>
    <t>K9</t>
    <phoneticPr fontId="2" type="noConversion"/>
  </si>
  <si>
    <t>신형(RJ)</t>
    <phoneticPr fontId="2" type="noConversion"/>
  </si>
  <si>
    <t>구형(KH)</t>
    <phoneticPr fontId="2" type="noConversion"/>
  </si>
  <si>
    <t>구형(YD)</t>
    <phoneticPr fontId="2" type="noConversion"/>
  </si>
  <si>
    <t>신형(BD)</t>
    <phoneticPr fontId="2" type="noConversion"/>
  </si>
  <si>
    <t>※ 국내 친환경차(HEV / PHEV / EV) 판매</t>
    <phoneticPr fontId="2" type="noConversion"/>
  </si>
  <si>
    <t>니로 EV</t>
    <phoneticPr fontId="2" type="noConversion"/>
  </si>
  <si>
    <t>니로</t>
    <phoneticPr fontId="2" type="noConversion"/>
  </si>
  <si>
    <t>HEV / PHEV</t>
    <phoneticPr fontId="2" type="noConversion"/>
  </si>
  <si>
    <t>EV</t>
    <phoneticPr fontId="2" type="noConversion"/>
  </si>
  <si>
    <t>쏘울</t>
    <phoneticPr fontId="2" type="noConversion"/>
  </si>
  <si>
    <t>PS</t>
    <phoneticPr fontId="2" type="noConversion"/>
  </si>
  <si>
    <t>PS EV</t>
    <phoneticPr fontId="2" type="noConversion"/>
  </si>
  <si>
    <t>친환경 합계</t>
    <phoneticPr fontId="2" type="noConversion"/>
  </si>
  <si>
    <t>2019년</t>
    <phoneticPr fontId="2" type="noConversion"/>
  </si>
  <si>
    <t>※ 2019년</t>
    <phoneticPr fontId="2" type="noConversion"/>
  </si>
  <si>
    <t>구형(PS)</t>
    <phoneticPr fontId="2" type="noConversion"/>
  </si>
  <si>
    <t>구형(PS EV)</t>
    <phoneticPr fontId="2" type="noConversion"/>
  </si>
  <si>
    <t>신형(SK3)</t>
    <phoneticPr fontId="2" type="noConversion"/>
  </si>
  <si>
    <t>신형(SK3 EV)</t>
    <phoneticPr fontId="2" type="noConversion"/>
  </si>
  <si>
    <r>
      <rPr>
        <sz val="10"/>
        <color indexed="9"/>
        <rFont val="바탕"/>
        <family val="1"/>
        <charset val="129"/>
      </rPr>
      <t>전월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데이터도</t>
    </r>
    <r>
      <rPr>
        <sz val="10"/>
        <color indexed="9"/>
        <rFont val="Times New Roman"/>
        <family val="1"/>
      </rPr>
      <t xml:space="preserve"> c5:p26</t>
    </r>
    <r>
      <rPr>
        <sz val="10"/>
        <color indexed="9"/>
        <rFont val="바탕"/>
        <family val="1"/>
        <charset val="129"/>
      </rPr>
      <t>으로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phoneticPr fontId="2" type="noConversion"/>
  </si>
  <si>
    <r>
      <t>2</t>
    </r>
    <r>
      <rPr>
        <sz val="10"/>
        <color indexed="9"/>
        <rFont val="바탕"/>
        <family val="1"/>
        <charset val="129"/>
      </rPr>
      <t>월꺼부터</t>
    </r>
    <r>
      <rPr>
        <sz val="10"/>
        <color indexed="9"/>
        <rFont val="Times New Roman"/>
        <family val="1"/>
      </rPr>
      <t xml:space="preserve"> H28 </t>
    </r>
    <r>
      <rPr>
        <sz val="10"/>
        <color indexed="9"/>
        <rFont val="바탕"/>
        <family val="1"/>
        <charset val="129"/>
      </rPr>
      <t>아래거로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바꿔</t>
    </r>
    <r>
      <rPr>
        <sz val="10"/>
        <color indexed="9"/>
        <rFont val="Times New Roman"/>
        <family val="1"/>
      </rPr>
      <t xml:space="preserve"> (</t>
    </r>
    <r>
      <rPr>
        <sz val="10"/>
        <color indexed="9"/>
        <rFont val="바탕"/>
        <family val="1"/>
        <charset val="129"/>
      </rPr>
      <t>그래야</t>
    </r>
    <r>
      <rPr>
        <sz val="10"/>
        <color indexed="9"/>
        <rFont val="Times New Roman"/>
        <family val="1"/>
      </rPr>
      <t xml:space="preserve"> '2019'</t>
    </r>
    <r>
      <rPr>
        <sz val="10"/>
        <color indexed="9"/>
        <rFont val="바탕"/>
        <family val="1"/>
        <charset val="129"/>
      </rPr>
      <t>년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데이터</t>
    </r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바탕"/>
        <family val="1"/>
        <charset val="129"/>
      </rPr>
      <t>나옴</t>
    </r>
    <r>
      <rPr>
        <sz val="10"/>
        <color indexed="9"/>
        <rFont val="Times New Roman"/>
        <family val="1"/>
      </rPr>
      <t>)</t>
    </r>
    <phoneticPr fontId="2" type="noConversion"/>
  </si>
  <si>
    <r>
      <t>=VLOOKUP(H5,'</t>
    </r>
    <r>
      <rPr>
        <sz val="12"/>
        <color indexed="9"/>
        <rFont val="바탕"/>
        <family val="1"/>
        <charset val="129"/>
      </rPr>
      <t>⊙</t>
    </r>
    <r>
      <rPr>
        <sz val="12"/>
        <color indexed="9"/>
        <rFont val="Times New Roman"/>
        <family val="1"/>
      </rPr>
      <t xml:space="preserve"> </t>
    </r>
    <r>
      <rPr>
        <sz val="12"/>
        <color indexed="9"/>
        <rFont val="바탕"/>
        <family val="1"/>
        <charset val="129"/>
      </rPr>
      <t>월별</t>
    </r>
    <r>
      <rPr>
        <sz val="12"/>
        <color indexed="9"/>
        <rFont val="Times New Roman"/>
        <family val="1"/>
      </rPr>
      <t>'!B102:D113,3,0)</t>
    </r>
    <phoneticPr fontId="2" type="noConversion"/>
  </si>
  <si>
    <t>승용</t>
    <phoneticPr fontId="2" type="noConversion"/>
  </si>
  <si>
    <t>RV</t>
    <phoneticPr fontId="2" type="noConversion"/>
  </si>
  <si>
    <t>셀토스</t>
    <phoneticPr fontId="2" type="noConversion"/>
  </si>
  <si>
    <t>셀토스</t>
    <phoneticPr fontId="2" type="noConversion"/>
  </si>
  <si>
    <t>DL3</t>
    <phoneticPr fontId="2" type="noConversion"/>
  </si>
  <si>
    <t>DL3 HEV</t>
    <phoneticPr fontId="2" type="noConversion"/>
  </si>
  <si>
    <t>※ 2020년</t>
    <phoneticPr fontId="2" type="noConversion"/>
  </si>
  <si>
    <t>2020년</t>
    <phoneticPr fontId="2" type="noConversion"/>
  </si>
  <si>
    <t>SK3</t>
    <phoneticPr fontId="2" type="noConversion"/>
  </si>
  <si>
    <t>SK3 EV</t>
    <phoneticPr fontId="2" type="noConversion"/>
  </si>
  <si>
    <t>카니발</t>
    <phoneticPr fontId="2" type="noConversion"/>
  </si>
  <si>
    <t>카니발</t>
    <phoneticPr fontId="2" type="noConversion"/>
  </si>
  <si>
    <t>쏘울</t>
    <phoneticPr fontId="2" type="noConversion"/>
  </si>
  <si>
    <t>스토닉</t>
    <phoneticPr fontId="2" type="noConversion"/>
  </si>
  <si>
    <t>셀토스</t>
    <phoneticPr fontId="2" type="noConversion"/>
  </si>
  <si>
    <t>스포티지</t>
    <phoneticPr fontId="2" type="noConversion"/>
  </si>
  <si>
    <t>쏘렌토</t>
    <phoneticPr fontId="2" type="noConversion"/>
  </si>
  <si>
    <t>모하비</t>
    <phoneticPr fontId="2" type="noConversion"/>
  </si>
  <si>
    <t>스포티지</t>
    <phoneticPr fontId="2" type="noConversion"/>
  </si>
  <si>
    <t>쏘렌토</t>
    <phoneticPr fontId="2" type="noConversion"/>
  </si>
  <si>
    <t>봉고</t>
    <phoneticPr fontId="2" type="noConversion"/>
  </si>
  <si>
    <t>봉고</t>
    <phoneticPr fontId="2" type="noConversion"/>
  </si>
  <si>
    <t>봉고 EV</t>
    <phoneticPr fontId="2" type="noConversion"/>
  </si>
  <si>
    <t>봉고 (계)</t>
    <phoneticPr fontId="2" type="noConversion"/>
  </si>
  <si>
    <t>봉고 EV</t>
    <phoneticPr fontId="2" type="noConversion"/>
  </si>
  <si>
    <t>쏘렌토</t>
    <phoneticPr fontId="2" type="noConversion"/>
  </si>
  <si>
    <t>UM</t>
    <phoneticPr fontId="2" type="noConversion"/>
  </si>
  <si>
    <t>MQ4</t>
    <phoneticPr fontId="2" type="noConversion"/>
  </si>
  <si>
    <t>MQ4 HEV</t>
    <phoneticPr fontId="2" type="noConversion"/>
  </si>
  <si>
    <t>쏘렌토 (계)</t>
    <phoneticPr fontId="2" type="noConversion"/>
  </si>
  <si>
    <t>쏘렌토 HEV</t>
    <phoneticPr fontId="2" type="noConversion"/>
  </si>
  <si>
    <t>구형</t>
    <phoneticPr fontId="2" type="noConversion"/>
  </si>
  <si>
    <t>신형(KA4)</t>
    <phoneticPr fontId="2" type="noConversion"/>
  </si>
  <si>
    <t>※ 2009년</t>
    <phoneticPr fontId="2" type="noConversion"/>
  </si>
  <si>
    <t>쎄라토</t>
    <phoneticPr fontId="2" type="noConversion"/>
  </si>
  <si>
    <t>R
V</t>
    <phoneticPr fontId="2" type="noConversion"/>
  </si>
  <si>
    <t>차    종</t>
  </si>
  <si>
    <t>계</t>
  </si>
  <si>
    <t>모닝</t>
  </si>
  <si>
    <t>프라이드</t>
  </si>
  <si>
    <t>쎄라토</t>
  </si>
  <si>
    <t>로체</t>
  </si>
  <si>
    <t>카렌스</t>
  </si>
  <si>
    <t>카니발</t>
  </si>
  <si>
    <t>쏘렌토</t>
  </si>
  <si>
    <t>총      계</t>
  </si>
  <si>
    <t>※ 2008년</t>
    <phoneticPr fontId="2" type="noConversion"/>
  </si>
  <si>
    <t>※ 2007년</t>
    <phoneticPr fontId="2" type="noConversion"/>
  </si>
  <si>
    <t>1월</t>
  </si>
  <si>
    <t>2월</t>
  </si>
  <si>
    <t>3월</t>
  </si>
  <si>
    <t>4월</t>
  </si>
  <si>
    <t>5월</t>
  </si>
  <si>
    <t>6월</t>
    <phoneticPr fontId="2" type="noConversion"/>
  </si>
  <si>
    <t>7월</t>
  </si>
  <si>
    <t>8월</t>
  </si>
  <si>
    <t>9월</t>
  </si>
  <si>
    <t>10월</t>
  </si>
  <si>
    <t>11월</t>
  </si>
  <si>
    <t>12월</t>
  </si>
  <si>
    <t>OPIRUS</t>
    <phoneticPr fontId="2" type="noConversion"/>
  </si>
  <si>
    <t>카렌스(신)</t>
    <phoneticPr fontId="2" type="noConversion"/>
  </si>
  <si>
    <t>카니발(신)</t>
    <phoneticPr fontId="2" type="noConversion"/>
  </si>
  <si>
    <t>뉴스포티지</t>
    <phoneticPr fontId="2" type="noConversion"/>
  </si>
  <si>
    <t>※ 2006년</t>
    <phoneticPr fontId="2" type="noConversion"/>
  </si>
  <si>
    <t>옵티마/리갈</t>
    <phoneticPr fontId="2" type="noConversion"/>
  </si>
  <si>
    <t>카렌스 (구)</t>
    <phoneticPr fontId="2" type="noConversion"/>
  </si>
  <si>
    <t>카렌스 (신)</t>
    <phoneticPr fontId="2" type="noConversion"/>
  </si>
  <si>
    <t>엑스트렉</t>
    <phoneticPr fontId="2" type="noConversion"/>
  </si>
  <si>
    <t>카니발 (구)</t>
    <phoneticPr fontId="2" type="noConversion"/>
  </si>
  <si>
    <t>카니발 (신)</t>
    <phoneticPr fontId="2" type="noConversion"/>
  </si>
  <si>
    <t>6월</t>
  </si>
  <si>
    <t>승</t>
  </si>
  <si>
    <t>용</t>
  </si>
  <si>
    <t>리오</t>
  </si>
  <si>
    <t xml:space="preserve">- </t>
  </si>
  <si>
    <t>옵티마/리갈</t>
  </si>
  <si>
    <t>OPIRUS</t>
  </si>
  <si>
    <t>엑스트렉</t>
  </si>
  <si>
    <t>그랜드카니발</t>
  </si>
  <si>
    <t>뉴스포티지</t>
  </si>
  <si>
    <t>상</t>
  </si>
  <si>
    <t>봉고버스</t>
  </si>
  <si>
    <t>봉고트럭</t>
  </si>
  <si>
    <t>중대형버스</t>
  </si>
  <si>
    <t>특수차량</t>
  </si>
  <si>
    <t>2005년</t>
    <phoneticPr fontId="2" type="noConversion"/>
  </si>
  <si>
    <t>2004년</t>
    <phoneticPr fontId="2" type="noConversion"/>
  </si>
  <si>
    <t>비스토</t>
  </si>
  <si>
    <t xml:space="preserve">-  </t>
  </si>
  <si>
    <t>스펙트라</t>
  </si>
  <si>
    <t>레토나</t>
  </si>
  <si>
    <t>중형트럭</t>
  </si>
  <si>
    <t>2003년</t>
    <phoneticPr fontId="2" type="noConversion"/>
  </si>
  <si>
    <t>구    분</t>
    <phoneticPr fontId="24" type="noConversion"/>
  </si>
  <si>
    <t>비 스 토</t>
    <phoneticPr fontId="2" type="noConversion"/>
  </si>
  <si>
    <t>리     오</t>
    <phoneticPr fontId="2" type="noConversion"/>
  </si>
  <si>
    <t>쎄 라 토</t>
    <phoneticPr fontId="2" type="noConversion"/>
  </si>
  <si>
    <t>스펙트라</t>
    <phoneticPr fontId="27" type="noConversion"/>
  </si>
  <si>
    <t>스펙트라윙</t>
    <phoneticPr fontId="27" type="noConversion"/>
  </si>
  <si>
    <t>옵 티 마</t>
    <phoneticPr fontId="27" type="noConversion"/>
  </si>
  <si>
    <t>옵티마 리갈</t>
    <phoneticPr fontId="2" type="noConversion"/>
  </si>
  <si>
    <t>승     용</t>
    <phoneticPr fontId="2" type="noConversion"/>
  </si>
  <si>
    <t>쏘 렌 토</t>
    <phoneticPr fontId="2" type="noConversion"/>
  </si>
  <si>
    <t>카 니 발</t>
    <phoneticPr fontId="2" type="noConversion"/>
  </si>
  <si>
    <t>카 렌 스</t>
    <phoneticPr fontId="2" type="noConversion"/>
  </si>
  <si>
    <t>레 토 나</t>
    <phoneticPr fontId="2" type="noConversion"/>
  </si>
  <si>
    <t>R      V</t>
    <phoneticPr fontId="2" type="noConversion"/>
  </si>
  <si>
    <t>프레지오</t>
    <phoneticPr fontId="2" type="noConversion"/>
  </si>
  <si>
    <t>프런티어</t>
    <phoneticPr fontId="2" type="noConversion"/>
  </si>
  <si>
    <t>프런티어 1.3톤</t>
    <phoneticPr fontId="2" type="noConversion"/>
  </si>
  <si>
    <t>프런티어 2.5톤</t>
    <phoneticPr fontId="2" type="noConversion"/>
  </si>
  <si>
    <t>라 이 노</t>
    <phoneticPr fontId="2" type="noConversion"/>
  </si>
  <si>
    <t>파 맥 스</t>
    <phoneticPr fontId="2" type="noConversion"/>
  </si>
  <si>
    <t>대형버스</t>
    <phoneticPr fontId="2" type="noConversion"/>
  </si>
  <si>
    <t>군      수</t>
    <phoneticPr fontId="2" type="noConversion"/>
  </si>
  <si>
    <t>상     용</t>
    <phoneticPr fontId="2" type="noConversion"/>
  </si>
  <si>
    <t>그레이스</t>
    <phoneticPr fontId="27" type="noConversion"/>
  </si>
  <si>
    <t>내    수</t>
    <phoneticPr fontId="27" type="noConversion"/>
  </si>
  <si>
    <t>포 텐 샤</t>
    <phoneticPr fontId="2" type="noConversion"/>
  </si>
  <si>
    <t>엔터프라이즈</t>
    <phoneticPr fontId="2" type="noConversion"/>
  </si>
  <si>
    <t>카 스 타</t>
    <phoneticPr fontId="2" type="noConversion"/>
  </si>
  <si>
    <t>타 우 너</t>
    <phoneticPr fontId="2" type="noConversion"/>
  </si>
  <si>
    <t>프런티어 1톤</t>
    <phoneticPr fontId="2" type="noConversion"/>
  </si>
  <si>
    <t>콤      비</t>
    <phoneticPr fontId="2" type="noConversion"/>
  </si>
  <si>
    <t>코스모스</t>
    <phoneticPr fontId="2" type="noConversion"/>
  </si>
  <si>
    <t>2002년</t>
    <phoneticPr fontId="2" type="noConversion"/>
  </si>
  <si>
    <t>합 계</t>
    <phoneticPr fontId="27" type="noConversion"/>
  </si>
  <si>
    <t>1월</t>
    <phoneticPr fontId="27" type="noConversion"/>
  </si>
  <si>
    <t>2월</t>
    <phoneticPr fontId="27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</si>
  <si>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</si>
  <si>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</si>
  <si>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</si>
  <si>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</si>
  <si>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</si>
  <si>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</si>
  <si>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</si>
  <si>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</si>
  <si>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</si>
  <si>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비스토</t>
    <phoneticPr fontId="2" type="noConversion"/>
  </si>
  <si>
    <t>리오</t>
    <phoneticPr fontId="2" type="noConversion"/>
  </si>
  <si>
    <t>스펙트라 윙</t>
    <phoneticPr fontId="27" type="noConversion"/>
  </si>
  <si>
    <t>옵티마</t>
    <phoneticPr fontId="27" type="noConversion"/>
  </si>
  <si>
    <t>포텐샤</t>
    <phoneticPr fontId="2" type="noConversion"/>
  </si>
  <si>
    <t>레토나</t>
    <phoneticPr fontId="2" type="noConversion"/>
  </si>
  <si>
    <t>카스타</t>
    <phoneticPr fontId="2" type="noConversion"/>
  </si>
  <si>
    <t>타우너</t>
    <phoneticPr fontId="2" type="noConversion"/>
  </si>
  <si>
    <t>프런티어 1 톤</t>
    <phoneticPr fontId="2" type="noConversion"/>
  </si>
  <si>
    <t>소형상용</t>
    <phoneticPr fontId="2" type="noConversion"/>
  </si>
  <si>
    <t>파맥스</t>
    <phoneticPr fontId="2" type="noConversion"/>
  </si>
  <si>
    <t>라이노</t>
    <phoneticPr fontId="2" type="noConversion"/>
  </si>
  <si>
    <t>콤비</t>
    <phoneticPr fontId="2" type="noConversion"/>
  </si>
  <si>
    <t>대형버스</t>
  </si>
  <si>
    <t>대형트럭</t>
    <phoneticPr fontId="27" type="noConversion"/>
  </si>
  <si>
    <t>대형상용</t>
    <phoneticPr fontId="2" type="noConversion"/>
  </si>
  <si>
    <t>위 탁 차</t>
  </si>
  <si>
    <t>MIP</t>
  </si>
  <si>
    <t>일반정비</t>
  </si>
  <si>
    <t>렌터카</t>
  </si>
  <si>
    <t>군수부품</t>
  </si>
  <si>
    <t>산업용엔진</t>
    <phoneticPr fontId="27" type="noConversion"/>
  </si>
  <si>
    <t>현대엔진</t>
    <phoneticPr fontId="27" type="noConversion"/>
  </si>
  <si>
    <t>사급</t>
  </si>
  <si>
    <t>기타</t>
  </si>
  <si>
    <t xml:space="preserve">              - </t>
  </si>
  <si>
    <t>2001년</t>
    <phoneticPr fontId="2" type="noConversion"/>
  </si>
  <si>
    <t xml:space="preserve">1월 </t>
    <phoneticPr fontId="27" type="noConversion"/>
  </si>
  <si>
    <t xml:space="preserve">2월 </t>
    <phoneticPr fontId="27" type="noConversion"/>
  </si>
  <si>
    <t xml:space="preserve">3월 </t>
    <phoneticPr fontId="27" type="noConversion"/>
  </si>
  <si>
    <t xml:space="preserve">4월 </t>
    <phoneticPr fontId="27" type="noConversion"/>
  </si>
  <si>
    <t xml:space="preserve">5월 </t>
    <phoneticPr fontId="27" type="noConversion"/>
  </si>
  <si>
    <t xml:space="preserve">6월 </t>
    <phoneticPr fontId="27" type="noConversion"/>
  </si>
  <si>
    <t>7월</t>
    <phoneticPr fontId="27" type="noConversion"/>
  </si>
  <si>
    <t>8월</t>
    <phoneticPr fontId="27" type="noConversion"/>
  </si>
  <si>
    <t xml:space="preserve">9월 </t>
    <phoneticPr fontId="27" type="noConversion"/>
  </si>
  <si>
    <t xml:space="preserve">10월 </t>
    <phoneticPr fontId="27" type="noConversion"/>
  </si>
  <si>
    <t xml:space="preserve">11월 </t>
    <phoneticPr fontId="27" type="noConversion"/>
  </si>
  <si>
    <t xml:space="preserve">12월 </t>
    <phoneticPr fontId="27" type="noConversion"/>
  </si>
  <si>
    <t>아벨라</t>
    <phoneticPr fontId="2" type="noConversion"/>
  </si>
  <si>
    <t>세피아</t>
    <phoneticPr fontId="2" type="noConversion"/>
  </si>
  <si>
    <t>슈마</t>
    <phoneticPr fontId="2" type="noConversion"/>
  </si>
  <si>
    <t>크레도스</t>
    <phoneticPr fontId="2" type="noConversion"/>
  </si>
  <si>
    <t>세레스</t>
    <phoneticPr fontId="2" type="noConversion"/>
  </si>
  <si>
    <t>프런티어 1t</t>
    <phoneticPr fontId="2" type="noConversion"/>
  </si>
  <si>
    <t>프런티어 1.3t</t>
    <phoneticPr fontId="2" type="noConversion"/>
  </si>
  <si>
    <t>프런티어 1.4t</t>
    <phoneticPr fontId="2" type="noConversion"/>
  </si>
  <si>
    <t>프런티어 2.5t</t>
    <phoneticPr fontId="2" type="noConversion"/>
  </si>
  <si>
    <t>트레이드</t>
    <phoneticPr fontId="2" type="noConversion"/>
  </si>
  <si>
    <t>토픽</t>
    <phoneticPr fontId="2" type="noConversion"/>
  </si>
  <si>
    <t>대형트럭</t>
  </si>
  <si>
    <t>엘란</t>
    <phoneticPr fontId="27" type="noConversion"/>
  </si>
  <si>
    <t>파맥스</t>
    <phoneticPr fontId="27" type="noConversion"/>
  </si>
  <si>
    <t>부품/용품</t>
  </si>
  <si>
    <t>정비매출</t>
  </si>
  <si>
    <t>사급매출</t>
  </si>
  <si>
    <t>기      타</t>
    <phoneticPr fontId="2" type="noConversion"/>
  </si>
  <si>
    <t xml:space="preserve">               - </t>
  </si>
  <si>
    <t xml:space="preserve">내     수 </t>
    <phoneticPr fontId="2" type="noConversion"/>
  </si>
  <si>
    <t>2000년</t>
    <phoneticPr fontId="2" type="noConversion"/>
  </si>
  <si>
    <t>※ 2021년</t>
    <phoneticPr fontId="2" type="noConversion"/>
  </si>
  <si>
    <t>2021년</t>
    <phoneticPr fontId="2" type="noConversion"/>
  </si>
  <si>
    <t>K8</t>
    <phoneticPr fontId="2" type="noConversion"/>
  </si>
  <si>
    <t>K8</t>
    <phoneticPr fontId="2" type="noConversion"/>
  </si>
  <si>
    <t>K8(K7 후속)</t>
    <phoneticPr fontId="2" type="noConversion"/>
  </si>
  <si>
    <t>GL3</t>
    <phoneticPr fontId="2" type="noConversion"/>
  </si>
  <si>
    <t>K8 (계)</t>
    <phoneticPr fontId="2" type="noConversion"/>
  </si>
  <si>
    <t>GL3 HEV</t>
    <phoneticPr fontId="2" type="noConversion"/>
  </si>
  <si>
    <t>HEV</t>
    <phoneticPr fontId="2" type="noConversion"/>
  </si>
  <si>
    <t>K5 HEV</t>
    <phoneticPr fontId="2" type="noConversion"/>
  </si>
  <si>
    <t>QL</t>
    <phoneticPr fontId="2" type="noConversion"/>
  </si>
  <si>
    <t>NQ5</t>
    <phoneticPr fontId="2" type="noConversion"/>
  </si>
  <si>
    <t>NQ5 HEV</t>
    <phoneticPr fontId="2" type="noConversion"/>
  </si>
  <si>
    <t>스포티지 (계)</t>
    <phoneticPr fontId="2" type="noConversion"/>
  </si>
  <si>
    <t>스포티지 HEV</t>
    <phoneticPr fontId="2" type="noConversion"/>
  </si>
  <si>
    <t>EV6 (계)</t>
    <phoneticPr fontId="2" type="noConversion"/>
  </si>
  <si>
    <t>EV6</t>
    <phoneticPr fontId="2" type="noConversion"/>
  </si>
  <si>
    <t>EV6</t>
    <phoneticPr fontId="2" type="noConversion"/>
  </si>
  <si>
    <t>니로 HEV</t>
    <phoneticPr fontId="2" type="noConversion"/>
  </si>
  <si>
    <t>HEV</t>
    <phoneticPr fontId="2" type="noConversion"/>
  </si>
  <si>
    <t>2022년</t>
    <phoneticPr fontId="2" type="noConversion"/>
  </si>
  <si>
    <t>※ 2022년</t>
    <phoneticPr fontId="2" type="noConversion"/>
  </si>
  <si>
    <t>2014년</t>
    <phoneticPr fontId="2" type="noConversion"/>
  </si>
  <si>
    <t>2011년</t>
    <phoneticPr fontId="2" type="noConversion"/>
  </si>
  <si>
    <t>2009년</t>
    <phoneticPr fontId="2" type="noConversion"/>
  </si>
  <si>
    <t>2008년</t>
    <phoneticPr fontId="2" type="noConversion"/>
  </si>
  <si>
    <t>2007년</t>
    <phoneticPr fontId="2" type="noConversion"/>
  </si>
  <si>
    <t>2006년</t>
    <phoneticPr fontId="2" type="noConversion"/>
  </si>
  <si>
    <t>2005년</t>
    <phoneticPr fontId="2" type="noConversion"/>
  </si>
  <si>
    <t>니로 플러스</t>
    <phoneticPr fontId="2" type="noConversion"/>
  </si>
  <si>
    <t>군수</t>
    <phoneticPr fontId="2" type="noConversion"/>
  </si>
  <si>
    <t>2023년</t>
    <phoneticPr fontId="2" type="noConversion"/>
  </si>
  <si>
    <t>※ 2023년</t>
    <phoneticPr fontId="2" type="noConversion"/>
  </si>
  <si>
    <t xml:space="preserve">         </t>
    <phoneticPr fontId="2" type="noConversion"/>
  </si>
  <si>
    <t>상
용</t>
    <phoneticPr fontId="2" type="noConversion"/>
  </si>
  <si>
    <t>특장</t>
    <phoneticPr fontId="2" type="noConversion"/>
  </si>
  <si>
    <t>계 (특수 제외)</t>
    <phoneticPr fontId="2" type="noConversion"/>
  </si>
  <si>
    <t>세단·RV·상용</t>
    <phoneticPr fontId="2" type="noConversion"/>
  </si>
  <si>
    <t>세단</t>
    <phoneticPr fontId="2" type="noConversion"/>
  </si>
  <si>
    <r>
      <t>해외</t>
    </r>
    <r>
      <rPr>
        <sz val="9"/>
        <rFont val="맑은 고딕"/>
        <family val="3"/>
        <charset val="129"/>
        <scheme val="minor"/>
      </rPr>
      <t>(특수)</t>
    </r>
    <phoneticPr fontId="2" type="noConversion"/>
  </si>
  <si>
    <r>
      <t>해외</t>
    </r>
    <r>
      <rPr>
        <sz val="9"/>
        <rFont val="맑은 고딕"/>
        <family val="3"/>
        <charset val="129"/>
        <scheme val="minor"/>
      </rPr>
      <t>(세단·RV·상용)</t>
    </r>
    <phoneticPr fontId="2" type="noConversion"/>
  </si>
  <si>
    <r>
      <rPr>
        <sz val="14"/>
        <rFont val="굴림"/>
        <family val="3"/>
        <charset val="129"/>
      </rPr>
      <t>■</t>
    </r>
    <r>
      <rPr>
        <sz val="14"/>
        <rFont val="HY헤드라인M"/>
        <family val="1"/>
        <charset val="129"/>
      </rPr>
      <t xml:space="preserve"> 기아 2023년 2월 판매실적</t>
    </r>
    <phoneticPr fontId="2" type="noConversion"/>
  </si>
  <si>
    <t>기아 2023년 2월 판매실적 - 차종별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</si>
</sst>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기아차 2010년 &quot;##&quot;월 판매실적 - 차종별&quot;"/>
    <numFmt numFmtId="185" formatCode="0.0%;\-0.0%"/>
    <numFmt numFmtId="186" formatCode="&quot;기아차 2015년 &quot;##&quot;월 판매실적 - 차종별&quot;"/>
    <numFmt numFmtId="187" formatCode="&quot;■ 기아차 2015년 &quot;##&quot;월 판매실적&quot;"/>
    <numFmt numFmtId="188" formatCode="#,##0.0_ "/>
    <numFmt numFmtId="189" formatCode="#,##0_ ;[Red]\-#,##0\ "/>
    <numFmt numFmtId="190" formatCode="0_);[Red]\(0\)"/>
  </numFmts>
  <fonts count="5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sz val="20"/>
      <name val="HY헤드라인M"/>
      <family val="1"/>
      <charset val="129"/>
    </font>
    <font>
      <sz val="12"/>
      <name val="Times New Roman"/>
      <family val="1"/>
    </font>
    <font>
      <sz val="8"/>
      <name val="HY헤드라인M"/>
      <family val="1"/>
      <charset val="129"/>
    </font>
    <font>
      <sz val="8"/>
      <name val="Times New Roman"/>
      <family val="1"/>
    </font>
    <font>
      <sz val="11"/>
      <name val="Times New Roman"/>
      <family val="1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8"/>
      <color indexed="10"/>
      <name val="돋움"/>
      <family val="3"/>
      <charset val="129"/>
    </font>
    <font>
      <sz val="14"/>
      <name val="굴림"/>
      <family val="3"/>
      <charset val="129"/>
    </font>
    <font>
      <sz val="7"/>
      <color indexed="81"/>
      <name val="맑은 고딕"/>
      <family val="3"/>
      <charset val="129"/>
    </font>
    <font>
      <sz val="7.5"/>
      <color indexed="81"/>
      <name val="맑은 고딕"/>
      <family val="3"/>
      <charset val="129"/>
    </font>
    <font>
      <b/>
      <sz val="7.5"/>
      <color indexed="81"/>
      <name val="맑은 고딕"/>
      <family val="3"/>
      <charset val="129"/>
    </font>
    <font>
      <b/>
      <sz val="7"/>
      <color indexed="81"/>
      <name val="맑은 고딕"/>
      <family val="3"/>
      <charset val="129"/>
    </font>
    <font>
      <sz val="10"/>
      <color indexed="9"/>
      <name val="Times New Roman"/>
      <family val="1"/>
    </font>
    <font>
      <sz val="10"/>
      <color indexed="9"/>
      <name val="바탕"/>
      <family val="1"/>
      <charset val="129"/>
    </font>
    <font>
      <sz val="12"/>
      <color indexed="9"/>
      <name val="Times New Roman"/>
      <family val="1"/>
    </font>
    <font>
      <sz val="12"/>
      <color indexed="9"/>
      <name val="바탕"/>
      <family val="1"/>
      <charset val="129"/>
    </font>
    <font>
      <sz val="7"/>
      <name val="돋움"/>
      <family val="3"/>
      <charset val="129"/>
    </font>
    <font>
      <sz val="12"/>
      <name val="굴림"/>
      <family val="3"/>
      <charset val="129"/>
    </font>
    <font>
      <sz val="8"/>
      <name val="굴림체"/>
      <family val="3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8"/>
      <name val="굴림"/>
      <family val="3"/>
      <charset val="129"/>
    </font>
    <font>
      <sz val="8"/>
      <name val="Arial"/>
      <family val="2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돋움"/>
      <family val="3"/>
      <charset val="129"/>
    </font>
    <font>
      <sz val="7.5"/>
      <color rgb="FF000000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sz val="14"/>
      <name val="HY헤드라인M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9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indexed="64"/>
      </top>
      <bottom style="thick">
        <color indexed="64"/>
      </bottom>
      <diagonal/>
    </border>
    <border>
      <left/>
      <right style="double">
        <color rgb="FF000000"/>
      </right>
      <top style="thick">
        <color indexed="64"/>
      </top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25" fillId="0" borderId="0"/>
    <xf numFmtId="0" fontId="23" fillId="0" borderId="0"/>
  </cellStyleXfs>
  <cellXfs count="7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 applyBorder="1">
      <alignment vertical="center"/>
    </xf>
    <xf numFmtId="184" fontId="3" fillId="0" borderId="0" xfId="0" applyNumberFormat="1" applyFont="1" applyAlignment="1">
      <alignment vertical="center"/>
    </xf>
    <xf numFmtId="0" fontId="6" fillId="0" borderId="0" xfId="4" applyFont="1" applyAlignment="1">
      <alignment vertical="center"/>
    </xf>
    <xf numFmtId="184" fontId="7" fillId="0" borderId="0" xfId="0" applyNumberFormat="1" applyFont="1" applyAlignment="1">
      <alignment vertical="center"/>
    </xf>
    <xf numFmtId="41" fontId="8" fillId="0" borderId="0" xfId="4" applyNumberFormat="1" applyFont="1" applyAlignment="1">
      <alignment horizontal="right" vertical="center" wrapText="1"/>
    </xf>
    <xf numFmtId="0" fontId="6" fillId="0" borderId="0" xfId="4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41" fontId="6" fillId="0" borderId="0" xfId="4" applyNumberFormat="1" applyFont="1" applyAlignment="1">
      <alignment vertical="center"/>
    </xf>
    <xf numFmtId="0" fontId="10" fillId="0" borderId="0" xfId="0" applyFont="1">
      <alignment vertical="center"/>
    </xf>
    <xf numFmtId="41" fontId="10" fillId="0" borderId="0" xfId="2" applyFont="1">
      <alignment vertical="center"/>
    </xf>
    <xf numFmtId="0" fontId="2" fillId="2" borderId="0" xfId="0" applyFont="1" applyFill="1">
      <alignment vertical="center"/>
    </xf>
    <xf numFmtId="41" fontId="2" fillId="0" borderId="0" xfId="2" applyFont="1">
      <alignment vertical="center"/>
    </xf>
    <xf numFmtId="0" fontId="2" fillId="0" borderId="0" xfId="0" applyFont="1">
      <alignment vertical="center"/>
    </xf>
    <xf numFmtId="179" fontId="11" fillId="0" borderId="1" xfId="2" applyNumberFormat="1" applyFont="1" applyBorder="1" applyAlignment="1">
      <alignment horizontal="center" vertical="center"/>
    </xf>
    <xf numFmtId="179" fontId="11" fillId="0" borderId="2" xfId="2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4" xfId="0" applyNumberFormat="1" applyFont="1" applyBorder="1">
      <alignment vertical="center"/>
    </xf>
    <xf numFmtId="41" fontId="11" fillId="0" borderId="5" xfId="2" applyFont="1" applyBorder="1" applyAlignment="1">
      <alignment horizontal="center" vertical="center"/>
    </xf>
    <xf numFmtId="41" fontId="11" fillId="0" borderId="6" xfId="2" applyFont="1" applyBorder="1" applyAlignment="1">
      <alignment horizontal="center" vertical="center"/>
    </xf>
    <xf numFmtId="41" fontId="11" fillId="0" borderId="7" xfId="2" applyFont="1" applyBorder="1" applyAlignment="1">
      <alignment horizontal="center" vertical="center"/>
    </xf>
    <xf numFmtId="178" fontId="11" fillId="0" borderId="8" xfId="0" applyNumberFormat="1" applyFont="1" applyFill="1" applyBorder="1">
      <alignment vertical="center"/>
    </xf>
    <xf numFmtId="41" fontId="11" fillId="0" borderId="9" xfId="2" applyFont="1" applyFill="1" applyBorder="1" applyAlignment="1">
      <alignment horizontal="center" vertical="center"/>
    </xf>
    <xf numFmtId="41" fontId="11" fillId="0" borderId="10" xfId="2" applyFont="1" applyFill="1" applyBorder="1" applyAlignment="1">
      <alignment horizontal="center" vertical="center"/>
    </xf>
    <xf numFmtId="41" fontId="11" fillId="0" borderId="11" xfId="2" applyFont="1" applyFill="1" applyBorder="1" applyAlignment="1">
      <alignment horizontal="center" vertical="center"/>
    </xf>
    <xf numFmtId="178" fontId="11" fillId="0" borderId="8" xfId="0" applyNumberFormat="1" applyFont="1" applyBorder="1">
      <alignment vertical="center"/>
    </xf>
    <xf numFmtId="41" fontId="11" fillId="0" borderId="9" xfId="2" applyFont="1" applyBorder="1" applyAlignment="1">
      <alignment horizontal="center" vertical="center"/>
    </xf>
    <xf numFmtId="41" fontId="11" fillId="0" borderId="10" xfId="2" applyFont="1" applyBorder="1" applyAlignment="1">
      <alignment horizontal="center" vertical="center"/>
    </xf>
    <xf numFmtId="41" fontId="11" fillId="0" borderId="11" xfId="2" applyFont="1" applyBorder="1" applyAlignment="1">
      <alignment horizontal="center" vertical="center"/>
    </xf>
    <xf numFmtId="178" fontId="11" fillId="3" borderId="8" xfId="0" applyNumberFormat="1" applyFont="1" applyFill="1" applyBorder="1">
      <alignment vertical="center"/>
    </xf>
    <xf numFmtId="41" fontId="11" fillId="3" borderId="9" xfId="2" applyFont="1" applyFill="1" applyBorder="1" applyAlignment="1">
      <alignment horizontal="center" vertical="center"/>
    </xf>
    <xf numFmtId="41" fontId="11" fillId="3" borderId="10" xfId="2" applyFont="1" applyFill="1" applyBorder="1" applyAlignment="1">
      <alignment horizontal="center" vertical="center"/>
    </xf>
    <xf numFmtId="41" fontId="11" fillId="3" borderId="11" xfId="2" applyFont="1" applyFill="1" applyBorder="1" applyAlignment="1">
      <alignment horizontal="center" vertical="center"/>
    </xf>
    <xf numFmtId="178" fontId="11" fillId="4" borderId="8" xfId="0" applyNumberFormat="1" applyFont="1" applyFill="1" applyBorder="1">
      <alignment vertical="center"/>
    </xf>
    <xf numFmtId="41" fontId="11" fillId="4" borderId="9" xfId="2" applyFont="1" applyFill="1" applyBorder="1" applyAlignment="1">
      <alignment horizontal="center" vertical="center"/>
    </xf>
    <xf numFmtId="41" fontId="11" fillId="4" borderId="10" xfId="2" applyFont="1" applyFill="1" applyBorder="1" applyAlignment="1">
      <alignment horizontal="center" vertical="center"/>
    </xf>
    <xf numFmtId="41" fontId="11" fillId="4" borderId="11" xfId="2" applyFont="1" applyFill="1" applyBorder="1" applyAlignment="1">
      <alignment horizontal="center" vertical="center"/>
    </xf>
    <xf numFmtId="178" fontId="11" fillId="5" borderId="12" xfId="0" applyNumberFormat="1" applyFont="1" applyFill="1" applyBorder="1" applyAlignment="1">
      <alignment horizontal="center" vertical="center"/>
    </xf>
    <xf numFmtId="41" fontId="11" fillId="5" borderId="9" xfId="2" applyFont="1" applyFill="1" applyBorder="1" applyAlignment="1">
      <alignment horizontal="center" vertical="center"/>
    </xf>
    <xf numFmtId="41" fontId="11" fillId="5" borderId="13" xfId="2" applyFont="1" applyFill="1" applyBorder="1" applyAlignment="1">
      <alignment horizontal="center" vertical="center"/>
    </xf>
    <xf numFmtId="41" fontId="11" fillId="0" borderId="0" xfId="2" applyFont="1" applyFill="1" applyBorder="1">
      <alignment vertical="center"/>
    </xf>
    <xf numFmtId="41" fontId="2" fillId="0" borderId="0" xfId="0" applyNumberFormat="1" applyFont="1">
      <alignment vertical="center"/>
    </xf>
    <xf numFmtId="178" fontId="11" fillId="0" borderId="14" xfId="0" applyNumberFormat="1" applyFont="1" applyBorder="1">
      <alignment vertical="center"/>
    </xf>
    <xf numFmtId="41" fontId="11" fillId="0" borderId="15" xfId="2" applyFont="1" applyBorder="1" applyAlignment="1">
      <alignment horizontal="center" vertical="center"/>
    </xf>
    <xf numFmtId="41" fontId="11" fillId="0" borderId="16" xfId="2" applyFont="1" applyBorder="1" applyAlignment="1">
      <alignment horizontal="center" vertical="center"/>
    </xf>
    <xf numFmtId="41" fontId="11" fillId="0" borderId="17" xfId="2" applyFont="1" applyBorder="1" applyAlignment="1">
      <alignment horizontal="center" vertical="center"/>
    </xf>
    <xf numFmtId="178" fontId="11" fillId="5" borderId="18" xfId="0" applyNumberFormat="1" applyFont="1" applyFill="1" applyBorder="1" applyAlignment="1">
      <alignment horizontal="center" vertical="center"/>
    </xf>
    <xf numFmtId="41" fontId="11" fillId="5" borderId="19" xfId="2" applyFont="1" applyFill="1" applyBorder="1" applyAlignment="1">
      <alignment horizontal="center" vertical="center"/>
    </xf>
    <xf numFmtId="41" fontId="11" fillId="5" borderId="20" xfId="2" applyFont="1" applyFill="1" applyBorder="1" applyAlignment="1">
      <alignment horizontal="center" vertical="center"/>
    </xf>
    <xf numFmtId="41" fontId="11" fillId="6" borderId="21" xfId="2" applyFont="1" applyFill="1" applyBorder="1" applyAlignment="1">
      <alignment horizontal="center" vertical="center"/>
    </xf>
    <xf numFmtId="41" fontId="11" fillId="6" borderId="22" xfId="2" applyFont="1" applyFill="1" applyBorder="1" applyAlignment="1">
      <alignment horizontal="center" vertical="center"/>
    </xf>
    <xf numFmtId="0" fontId="2" fillId="5" borderId="23" xfId="0" applyFont="1" applyFill="1" applyBorder="1">
      <alignment vertical="center"/>
    </xf>
    <xf numFmtId="0" fontId="2" fillId="5" borderId="24" xfId="0" applyFont="1" applyFill="1" applyBorder="1">
      <alignment vertical="center"/>
    </xf>
    <xf numFmtId="41" fontId="2" fillId="5" borderId="24" xfId="2" applyFont="1" applyFill="1" applyBorder="1">
      <alignment vertical="center"/>
    </xf>
    <xf numFmtId="41" fontId="2" fillId="5" borderId="24" xfId="0" applyNumberFormat="1" applyFont="1" applyFill="1" applyBorder="1">
      <alignment vertical="center"/>
    </xf>
    <xf numFmtId="0" fontId="2" fillId="5" borderId="25" xfId="0" applyFont="1" applyFill="1" applyBorder="1">
      <alignment vertical="center"/>
    </xf>
    <xf numFmtId="0" fontId="2" fillId="0" borderId="24" xfId="0" applyFont="1" applyBorder="1">
      <alignment vertical="center"/>
    </xf>
    <xf numFmtId="41" fontId="2" fillId="0" borderId="24" xfId="2" applyFont="1" applyBorder="1">
      <alignment vertical="center"/>
    </xf>
    <xf numFmtId="41" fontId="2" fillId="0" borderId="24" xfId="0" applyNumberFormat="1" applyFont="1" applyBorder="1">
      <alignment vertical="center"/>
    </xf>
    <xf numFmtId="0" fontId="12" fillId="0" borderId="0" xfId="0" applyFont="1">
      <alignment vertical="center"/>
    </xf>
    <xf numFmtId="43" fontId="2" fillId="0" borderId="0" xfId="0" applyNumberFormat="1" applyFont="1">
      <alignment vertical="center"/>
    </xf>
    <xf numFmtId="0" fontId="2" fillId="5" borderId="26" xfId="0" applyFont="1" applyFill="1" applyBorder="1">
      <alignment vertical="center"/>
    </xf>
    <xf numFmtId="0" fontId="2" fillId="5" borderId="27" xfId="0" applyFont="1" applyFill="1" applyBorder="1">
      <alignment vertical="center"/>
    </xf>
    <xf numFmtId="0" fontId="2" fillId="5" borderId="28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2" applyFont="1" applyBorder="1">
      <alignment vertical="center"/>
    </xf>
    <xf numFmtId="41" fontId="2" fillId="0" borderId="0" xfId="0" applyNumberFormat="1" applyFont="1" applyBorder="1">
      <alignment vertical="center"/>
    </xf>
    <xf numFmtId="0" fontId="2" fillId="5" borderId="0" xfId="0" applyFont="1" applyFill="1" applyBorder="1">
      <alignment vertical="center"/>
    </xf>
    <xf numFmtId="176" fontId="36" fillId="0" borderId="0" xfId="4" applyNumberFormat="1" applyFont="1" applyAlignment="1">
      <alignment vertical="center"/>
    </xf>
    <xf numFmtId="176" fontId="10" fillId="0" borderId="0" xfId="0" applyNumberFormat="1" applyFont="1">
      <alignment vertical="center"/>
    </xf>
    <xf numFmtId="176" fontId="37" fillId="0" borderId="0" xfId="2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5" borderId="31" xfId="4" quotePrefix="1" applyFont="1" applyFill="1" applyBorder="1" applyAlignment="1">
      <alignment wrapText="1"/>
    </xf>
    <xf numFmtId="0" fontId="39" fillId="5" borderId="32" xfId="4" quotePrefix="1" applyFont="1" applyFill="1" applyBorder="1" applyAlignment="1">
      <alignment wrapText="1"/>
    </xf>
    <xf numFmtId="183" fontId="40" fillId="7" borderId="33" xfId="4" applyNumberFormat="1" applyFont="1" applyFill="1" applyBorder="1" applyAlignment="1">
      <alignment horizontal="center" wrapText="1"/>
    </xf>
    <xf numFmtId="183" fontId="40" fillId="7" borderId="34" xfId="4" applyNumberFormat="1" applyFont="1" applyFill="1" applyBorder="1" applyAlignment="1">
      <alignment horizontal="center" wrapText="1"/>
    </xf>
    <xf numFmtId="0" fontId="39" fillId="5" borderId="32" xfId="4" quotePrefix="1" applyFont="1" applyFill="1" applyBorder="1" applyAlignment="1">
      <alignment horizontal="center" wrapText="1"/>
    </xf>
    <xf numFmtId="183" fontId="40" fillId="7" borderId="35" xfId="4" applyNumberFormat="1" applyFont="1" applyFill="1" applyBorder="1" applyAlignment="1">
      <alignment horizontal="center"/>
    </xf>
    <xf numFmtId="0" fontId="41" fillId="5" borderId="36" xfId="4" quotePrefix="1" applyFont="1" applyFill="1" applyBorder="1" applyAlignment="1">
      <alignment horizontal="center" vertical="center" wrapText="1"/>
    </xf>
    <xf numFmtId="0" fontId="41" fillId="5" borderId="37" xfId="4" quotePrefix="1" applyFont="1" applyFill="1" applyBorder="1" applyAlignment="1">
      <alignment horizontal="center" vertical="center" wrapText="1"/>
    </xf>
    <xf numFmtId="179" fontId="40" fillId="0" borderId="38" xfId="0" applyNumberFormat="1" applyFont="1" applyFill="1" applyBorder="1" applyAlignment="1">
      <alignment horizontal="center" vertical="top" wrapText="1"/>
    </xf>
    <xf numFmtId="179" fontId="40" fillId="0" borderId="39" xfId="0" applyNumberFormat="1" applyFont="1" applyFill="1" applyBorder="1" applyAlignment="1">
      <alignment horizontal="center" vertical="top" wrapText="1"/>
    </xf>
    <xf numFmtId="183" fontId="40" fillId="7" borderId="40" xfId="4" applyNumberFormat="1" applyFont="1" applyFill="1" applyBorder="1" applyAlignment="1">
      <alignment horizontal="center" vertical="top"/>
    </xf>
    <xf numFmtId="0" fontId="36" fillId="3" borderId="41" xfId="4" applyFont="1" applyFill="1" applyBorder="1" applyAlignment="1">
      <alignment vertical="center" wrapText="1"/>
    </xf>
    <xf numFmtId="41" fontId="40" fillId="5" borderId="42" xfId="2" applyFont="1" applyFill="1" applyBorder="1" applyAlignment="1">
      <alignment vertical="center"/>
    </xf>
    <xf numFmtId="176" fontId="41" fillId="5" borderId="24" xfId="1" applyNumberFormat="1" applyFont="1" applyFill="1" applyBorder="1" applyAlignment="1">
      <alignment vertical="center"/>
    </xf>
    <xf numFmtId="176" fontId="41" fillId="5" borderId="43" xfId="1" applyNumberFormat="1" applyFont="1" applyFill="1" applyBorder="1" applyAlignment="1">
      <alignment vertical="center"/>
    </xf>
    <xf numFmtId="41" fontId="36" fillId="0" borderId="27" xfId="2" applyFont="1" applyFill="1" applyBorder="1" applyAlignment="1">
      <alignment vertical="center"/>
    </xf>
    <xf numFmtId="41" fontId="36" fillId="0" borderId="44" xfId="2" applyFont="1" applyBorder="1" applyAlignment="1">
      <alignment vertical="center"/>
    </xf>
    <xf numFmtId="0" fontId="40" fillId="6" borderId="45" xfId="4" applyFont="1" applyFill="1" applyBorder="1" applyAlignment="1">
      <alignment horizontal="center" vertical="center"/>
    </xf>
    <xf numFmtId="41" fontId="40" fillId="6" borderId="42" xfId="2" applyFont="1" applyFill="1" applyBorder="1" applyAlignment="1">
      <alignment vertical="center"/>
    </xf>
    <xf numFmtId="176" fontId="41" fillId="6" borderId="24" xfId="1" applyNumberFormat="1" applyFont="1" applyFill="1" applyBorder="1" applyAlignment="1">
      <alignment vertical="center"/>
    </xf>
    <xf numFmtId="176" fontId="41" fillId="6" borderId="43" xfId="1" applyNumberFormat="1" applyFont="1" applyFill="1" applyBorder="1" applyAlignment="1">
      <alignment vertical="center"/>
    </xf>
    <xf numFmtId="41" fontId="36" fillId="6" borderId="27" xfId="2" applyFont="1" applyFill="1" applyBorder="1" applyAlignment="1">
      <alignment vertical="center"/>
    </xf>
    <xf numFmtId="41" fontId="36" fillId="6" borderId="44" xfId="2" applyFont="1" applyFill="1" applyBorder="1" applyAlignment="1">
      <alignment vertical="center"/>
    </xf>
    <xf numFmtId="41" fontId="40" fillId="3" borderId="46" xfId="2" applyFont="1" applyFill="1" applyBorder="1" applyAlignment="1">
      <alignment vertical="center"/>
    </xf>
    <xf numFmtId="176" fontId="41" fillId="3" borderId="36" xfId="1" applyNumberFormat="1" applyFont="1" applyFill="1" applyBorder="1" applyAlignment="1">
      <alignment vertical="center"/>
    </xf>
    <xf numFmtId="176" fontId="41" fillId="3" borderId="37" xfId="1" applyNumberFormat="1" applyFont="1" applyFill="1" applyBorder="1" applyAlignment="1">
      <alignment vertical="center"/>
    </xf>
    <xf numFmtId="41" fontId="36" fillId="3" borderId="47" xfId="2" applyFont="1" applyFill="1" applyBorder="1" applyAlignment="1">
      <alignment vertical="center"/>
    </xf>
    <xf numFmtId="41" fontId="40" fillId="4" borderId="46" xfId="2" applyFont="1" applyFill="1" applyBorder="1" applyAlignment="1">
      <alignment vertical="center"/>
    </xf>
    <xf numFmtId="176" fontId="41" fillId="4" borderId="36" xfId="1" applyNumberFormat="1" applyFont="1" applyFill="1" applyBorder="1" applyAlignment="1">
      <alignment vertical="center"/>
    </xf>
    <xf numFmtId="176" fontId="41" fillId="4" borderId="37" xfId="1" applyNumberFormat="1" applyFont="1" applyFill="1" applyBorder="1" applyAlignment="1">
      <alignment vertical="center"/>
    </xf>
    <xf numFmtId="41" fontId="36" fillId="4" borderId="47" xfId="2" applyFont="1" applyFill="1" applyBorder="1" applyAlignment="1">
      <alignment vertical="center"/>
    </xf>
    <xf numFmtId="41" fontId="36" fillId="4" borderId="48" xfId="2" applyFont="1" applyFill="1" applyBorder="1" applyAlignment="1">
      <alignment vertical="center"/>
    </xf>
    <xf numFmtId="41" fontId="40" fillId="2" borderId="49" xfId="2" applyFont="1" applyFill="1" applyBorder="1" applyAlignment="1">
      <alignment vertical="center"/>
    </xf>
    <xf numFmtId="176" fontId="41" fillId="2" borderId="50" xfId="1" applyNumberFormat="1" applyFont="1" applyFill="1" applyBorder="1" applyAlignment="1">
      <alignment vertical="center"/>
    </xf>
    <xf numFmtId="176" fontId="41" fillId="2" borderId="51" xfId="1" applyNumberFormat="1" applyFont="1" applyFill="1" applyBorder="1" applyAlignment="1">
      <alignment vertical="center"/>
    </xf>
    <xf numFmtId="41" fontId="36" fillId="2" borderId="52" xfId="2" applyFont="1" applyFill="1" applyBorder="1" applyAlignment="1">
      <alignment vertical="center"/>
    </xf>
    <xf numFmtId="41" fontId="36" fillId="2" borderId="53" xfId="2" applyFont="1" applyFill="1" applyBorder="1" applyAlignment="1">
      <alignment vertical="center"/>
    </xf>
    <xf numFmtId="41" fontId="36" fillId="2" borderId="54" xfId="2" applyFont="1" applyFill="1" applyBorder="1" applyAlignment="1">
      <alignment vertical="center"/>
    </xf>
    <xf numFmtId="0" fontId="36" fillId="0" borderId="43" xfId="4" applyFont="1" applyBorder="1" applyAlignment="1">
      <alignment horizontal="left" vertical="center" indent="1"/>
    </xf>
    <xf numFmtId="0" fontId="42" fillId="0" borderId="0" xfId="4" applyFont="1" applyAlignment="1">
      <alignment vertical="center"/>
    </xf>
    <xf numFmtId="0" fontId="43" fillId="0" borderId="0" xfId="4" applyFont="1" applyAlignment="1">
      <alignment horizontal="left" vertical="center"/>
    </xf>
    <xf numFmtId="0" fontId="43" fillId="0" borderId="0" xfId="4" applyFont="1" applyAlignment="1">
      <alignment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vertical="center"/>
    </xf>
    <xf numFmtId="10" fontId="43" fillId="0" borderId="0" xfId="4" applyNumberFormat="1" applyFont="1" applyAlignment="1">
      <alignment vertical="center"/>
    </xf>
    <xf numFmtId="0" fontId="36" fillId="0" borderId="0" xfId="4" applyFont="1" applyFill="1" applyBorder="1" applyAlignment="1">
      <alignment vertical="center" wrapText="1"/>
    </xf>
    <xf numFmtId="0" fontId="43" fillId="0" borderId="0" xfId="4" applyFont="1" applyFill="1" applyBorder="1" applyAlignment="1">
      <alignment vertical="center"/>
    </xf>
    <xf numFmtId="0" fontId="36" fillId="0" borderId="0" xfId="4" applyFont="1" applyFill="1" applyBorder="1" applyAlignment="1">
      <alignment horizontal="left" vertical="center"/>
    </xf>
    <xf numFmtId="41" fontId="40" fillId="0" borderId="0" xfId="2" applyFont="1" applyFill="1" applyBorder="1" applyAlignment="1">
      <alignment vertical="center"/>
    </xf>
    <xf numFmtId="176" fontId="41" fillId="0" borderId="0" xfId="1" applyNumberFormat="1" applyFont="1" applyFill="1" applyBorder="1" applyAlignment="1">
      <alignment vertical="center"/>
    </xf>
    <xf numFmtId="41" fontId="36" fillId="0" borderId="0" xfId="2" applyFont="1" applyFill="1" applyBorder="1" applyAlignment="1">
      <alignment vertical="center"/>
    </xf>
    <xf numFmtId="41" fontId="40" fillId="5" borderId="55" xfId="2" applyFont="1" applyFill="1" applyBorder="1" applyAlignment="1">
      <alignment vertical="center"/>
    </xf>
    <xf numFmtId="176" fontId="41" fillId="5" borderId="56" xfId="1" applyNumberFormat="1" applyFont="1" applyFill="1" applyBorder="1" applyAlignment="1">
      <alignment vertical="center"/>
    </xf>
    <xf numFmtId="176" fontId="41" fillId="5" borderId="57" xfId="1" applyNumberFormat="1" applyFont="1" applyFill="1" applyBorder="1" applyAlignment="1">
      <alignment vertical="center"/>
    </xf>
    <xf numFmtId="41" fontId="36" fillId="0" borderId="58" xfId="2" applyFont="1" applyBorder="1" applyAlignment="1">
      <alignment vertical="center"/>
    </xf>
    <xf numFmtId="41" fontId="36" fillId="0" borderId="59" xfId="2" applyFont="1" applyBorder="1" applyAlignment="1">
      <alignment vertical="center"/>
    </xf>
    <xf numFmtId="41" fontId="36" fillId="0" borderId="60" xfId="2" applyFont="1" applyFill="1" applyBorder="1" applyAlignment="1">
      <alignment vertical="center"/>
    </xf>
    <xf numFmtId="0" fontId="43" fillId="0" borderId="41" xfId="4" applyFont="1" applyFill="1" applyBorder="1" applyAlignment="1">
      <alignment vertical="center"/>
    </xf>
    <xf numFmtId="41" fontId="40" fillId="5" borderId="61" xfId="2" applyFont="1" applyFill="1" applyBorder="1" applyAlignment="1">
      <alignment vertical="center"/>
    </xf>
    <xf numFmtId="176" fontId="41" fillId="5" borderId="62" xfId="1" applyNumberFormat="1" applyFont="1" applyFill="1" applyBorder="1" applyAlignment="1">
      <alignment vertical="center"/>
    </xf>
    <xf numFmtId="0" fontId="43" fillId="0" borderId="63" xfId="4" applyFont="1" applyFill="1" applyBorder="1" applyAlignment="1">
      <alignment vertical="center"/>
    </xf>
    <xf numFmtId="41" fontId="40" fillId="5" borderId="64" xfId="2" applyFont="1" applyFill="1" applyBorder="1" applyAlignment="1">
      <alignment vertical="center"/>
    </xf>
    <xf numFmtId="176" fontId="41" fillId="5" borderId="65" xfId="1" applyNumberFormat="1" applyFont="1" applyFill="1" applyBorder="1" applyAlignment="1">
      <alignment vertical="center"/>
    </xf>
    <xf numFmtId="176" fontId="41" fillId="5" borderId="66" xfId="1" applyNumberFormat="1" applyFont="1" applyFill="1" applyBorder="1" applyAlignment="1">
      <alignment vertical="center"/>
    </xf>
    <xf numFmtId="41" fontId="36" fillId="0" borderId="67" xfId="2" applyFont="1" applyBorder="1" applyAlignment="1">
      <alignment vertical="center"/>
    </xf>
    <xf numFmtId="41" fontId="36" fillId="0" borderId="48" xfId="2" applyFont="1" applyBorder="1" applyAlignment="1">
      <alignment vertical="center"/>
    </xf>
    <xf numFmtId="41" fontId="36" fillId="0" borderId="68" xfId="2" applyFont="1" applyFill="1" applyBorder="1" applyAlignment="1">
      <alignment horizontal="left" vertical="center" indent="1"/>
    </xf>
    <xf numFmtId="0" fontId="44" fillId="0" borderId="48" xfId="4" applyFont="1" applyBorder="1" applyAlignment="1">
      <alignment horizontal="center" vertical="center"/>
    </xf>
    <xf numFmtId="0" fontId="41" fillId="2" borderId="0" xfId="0" applyFont="1" applyFill="1">
      <alignment vertical="center"/>
    </xf>
    <xf numFmtId="41" fontId="41" fillId="0" borderId="0" xfId="2" applyFont="1">
      <alignment vertical="center"/>
    </xf>
    <xf numFmtId="0" fontId="41" fillId="0" borderId="0" xfId="0" applyFont="1">
      <alignment vertical="center"/>
    </xf>
    <xf numFmtId="179" fontId="45" fillId="0" borderId="1" xfId="2" applyNumberFormat="1" applyFont="1" applyBorder="1" applyAlignment="1">
      <alignment horizontal="center" vertical="center"/>
    </xf>
    <xf numFmtId="179" fontId="45" fillId="0" borderId="2" xfId="2" applyNumberFormat="1" applyFont="1" applyBorder="1" applyAlignment="1">
      <alignment horizontal="center" vertical="center"/>
    </xf>
    <xf numFmtId="178" fontId="45" fillId="0" borderId="3" xfId="0" applyNumberFormat="1" applyFont="1" applyBorder="1" applyAlignment="1">
      <alignment horizontal="center" vertical="center"/>
    </xf>
    <xf numFmtId="178" fontId="45" fillId="0" borderId="8" xfId="0" applyNumberFormat="1" applyFont="1" applyFill="1" applyBorder="1">
      <alignment vertical="center"/>
    </xf>
    <xf numFmtId="41" fontId="45" fillId="0" borderId="9" xfId="2" applyFont="1" applyFill="1" applyBorder="1" applyAlignment="1">
      <alignment horizontal="center" vertical="center"/>
    </xf>
    <xf numFmtId="41" fontId="45" fillId="0" borderId="10" xfId="2" applyFont="1" applyFill="1" applyBorder="1" applyAlignment="1">
      <alignment horizontal="center" vertical="center"/>
    </xf>
    <xf numFmtId="41" fontId="45" fillId="0" borderId="11" xfId="2" applyFont="1" applyFill="1" applyBorder="1" applyAlignment="1">
      <alignment horizontal="center" vertical="center"/>
    </xf>
    <xf numFmtId="178" fontId="45" fillId="0" borderId="8" xfId="0" applyNumberFormat="1" applyFont="1" applyBorder="1">
      <alignment vertical="center"/>
    </xf>
    <xf numFmtId="41" fontId="45" fillId="0" borderId="9" xfId="2" applyFont="1" applyBorder="1" applyAlignment="1">
      <alignment horizontal="center" vertical="center"/>
    </xf>
    <xf numFmtId="41" fontId="45" fillId="0" borderId="10" xfId="2" applyFont="1" applyBorder="1" applyAlignment="1">
      <alignment horizontal="center" vertical="center"/>
    </xf>
    <xf numFmtId="178" fontId="45" fillId="5" borderId="12" xfId="0" applyNumberFormat="1" applyFont="1" applyFill="1" applyBorder="1" applyAlignment="1">
      <alignment horizontal="center" vertical="center"/>
    </xf>
    <xf numFmtId="41" fontId="45" fillId="5" borderId="9" xfId="2" applyFont="1" applyFill="1" applyBorder="1" applyAlignment="1">
      <alignment horizontal="center" vertical="center"/>
    </xf>
    <xf numFmtId="41" fontId="45" fillId="5" borderId="13" xfId="2" applyFont="1" applyFill="1" applyBorder="1" applyAlignment="1">
      <alignment horizontal="center" vertical="center"/>
    </xf>
    <xf numFmtId="41" fontId="45" fillId="0" borderId="11" xfId="2" applyFont="1" applyBorder="1" applyAlignment="1">
      <alignment horizontal="center" vertical="center"/>
    </xf>
    <xf numFmtId="178" fontId="45" fillId="0" borderId="14" xfId="0" applyNumberFormat="1" applyFont="1" applyBorder="1">
      <alignment vertical="center"/>
    </xf>
    <xf numFmtId="41" fontId="45" fillId="0" borderId="15" xfId="2" applyFont="1" applyBorder="1" applyAlignment="1">
      <alignment horizontal="center" vertical="center"/>
    </xf>
    <xf numFmtId="41" fontId="45" fillId="0" borderId="16" xfId="2" applyFont="1" applyBorder="1" applyAlignment="1">
      <alignment horizontal="center" vertical="center"/>
    </xf>
    <xf numFmtId="41" fontId="45" fillId="0" borderId="17" xfId="2" applyFont="1" applyBorder="1" applyAlignment="1">
      <alignment horizontal="center" vertical="center"/>
    </xf>
    <xf numFmtId="178" fontId="45" fillId="0" borderId="4" xfId="0" applyNumberFormat="1" applyFont="1" applyBorder="1">
      <alignment vertical="center"/>
    </xf>
    <xf numFmtId="41" fontId="45" fillId="0" borderId="5" xfId="2" applyFont="1" applyBorder="1" applyAlignment="1">
      <alignment horizontal="center" vertical="center"/>
    </xf>
    <xf numFmtId="41" fontId="45" fillId="0" borderId="6" xfId="2" applyFont="1" applyBorder="1" applyAlignment="1">
      <alignment horizontal="center" vertical="center"/>
    </xf>
    <xf numFmtId="41" fontId="45" fillId="0" borderId="7" xfId="2" applyFont="1" applyBorder="1" applyAlignment="1">
      <alignment horizontal="center" vertical="center"/>
    </xf>
    <xf numFmtId="178" fontId="45" fillId="5" borderId="18" xfId="0" applyNumberFormat="1" applyFont="1" applyFill="1" applyBorder="1" applyAlignment="1">
      <alignment horizontal="center" vertical="center"/>
    </xf>
    <xf numFmtId="41" fontId="45" fillId="5" borderId="19" xfId="2" applyFont="1" applyFill="1" applyBorder="1" applyAlignment="1">
      <alignment horizontal="center" vertical="center"/>
    </xf>
    <xf numFmtId="41" fontId="45" fillId="5" borderId="20" xfId="2" applyFont="1" applyFill="1" applyBorder="1" applyAlignment="1">
      <alignment horizontal="center" vertical="center"/>
    </xf>
    <xf numFmtId="41" fontId="45" fillId="6" borderId="21" xfId="2" applyFont="1" applyFill="1" applyBorder="1" applyAlignment="1">
      <alignment horizontal="center" vertical="center"/>
    </xf>
    <xf numFmtId="41" fontId="45" fillId="6" borderId="22" xfId="2" applyFont="1" applyFill="1" applyBorder="1" applyAlignment="1">
      <alignment horizontal="center" vertical="center"/>
    </xf>
    <xf numFmtId="0" fontId="44" fillId="0" borderId="0" xfId="0" applyFont="1">
      <alignment vertical="center"/>
    </xf>
    <xf numFmtId="41" fontId="44" fillId="0" borderId="0" xfId="2" applyFont="1">
      <alignment vertical="center"/>
    </xf>
    <xf numFmtId="0" fontId="41" fillId="5" borderId="26" xfId="0" applyFont="1" applyFill="1" applyBorder="1">
      <alignment vertical="center"/>
    </xf>
    <xf numFmtId="0" fontId="41" fillId="5" borderId="27" xfId="0" applyFont="1" applyFill="1" applyBorder="1">
      <alignment vertical="center"/>
    </xf>
    <xf numFmtId="41" fontId="41" fillId="5" borderId="24" xfId="2" applyFont="1" applyFill="1" applyBorder="1">
      <alignment vertical="center"/>
    </xf>
    <xf numFmtId="0" fontId="41" fillId="5" borderId="28" xfId="0" applyFont="1" applyFill="1" applyBorder="1">
      <alignment vertical="center"/>
    </xf>
    <xf numFmtId="0" fontId="41" fillId="0" borderId="24" xfId="0" applyFont="1" applyBorder="1">
      <alignment vertical="center"/>
    </xf>
    <xf numFmtId="41" fontId="41" fillId="0" borderId="24" xfId="2" applyFont="1" applyBorder="1">
      <alignment vertical="center"/>
    </xf>
    <xf numFmtId="41" fontId="41" fillId="0" borderId="24" xfId="0" applyNumberFormat="1" applyFont="1" applyBorder="1">
      <alignment vertical="center"/>
    </xf>
    <xf numFmtId="0" fontId="41" fillId="5" borderId="69" xfId="0" applyFont="1" applyFill="1" applyBorder="1">
      <alignment vertical="center"/>
    </xf>
    <xf numFmtId="0" fontId="41" fillId="5" borderId="25" xfId="0" applyFont="1" applyFill="1" applyBorder="1">
      <alignment vertical="center"/>
    </xf>
    <xf numFmtId="0" fontId="41" fillId="9" borderId="0" xfId="0" applyFont="1" applyFill="1" applyBorder="1">
      <alignment vertical="center"/>
    </xf>
    <xf numFmtId="0" fontId="41" fillId="0" borderId="0" xfId="0" applyFont="1" applyBorder="1">
      <alignment vertical="center"/>
    </xf>
    <xf numFmtId="41" fontId="41" fillId="0" borderId="0" xfId="2" applyFont="1" applyBorder="1">
      <alignment vertical="center"/>
    </xf>
    <xf numFmtId="41" fontId="41" fillId="0" borderId="0" xfId="0" applyNumberFormat="1" applyFont="1" applyBorder="1">
      <alignment vertical="center"/>
    </xf>
    <xf numFmtId="41" fontId="41" fillId="9" borderId="24" xfId="2" applyFont="1" applyFill="1" applyBorder="1">
      <alignment vertical="center"/>
    </xf>
    <xf numFmtId="176" fontId="44" fillId="0" borderId="0" xfId="2" applyNumberFormat="1" applyFont="1">
      <alignment vertical="center"/>
    </xf>
    <xf numFmtId="178" fontId="45" fillId="0" borderId="70" xfId="0" applyNumberFormat="1" applyFont="1" applyBorder="1" applyAlignment="1">
      <alignment vertical="center"/>
    </xf>
    <xf numFmtId="178" fontId="45" fillId="0" borderId="71" xfId="0" applyNumberFormat="1" applyFont="1" applyBorder="1" applyAlignment="1">
      <alignment vertical="center"/>
    </xf>
    <xf numFmtId="183" fontId="42" fillId="5" borderId="72" xfId="4" applyNumberFormat="1" applyFont="1" applyFill="1" applyBorder="1" applyAlignment="1">
      <alignment horizontal="center" wrapText="1"/>
    </xf>
    <xf numFmtId="179" fontId="42" fillId="5" borderId="73" xfId="0" applyNumberFormat="1" applyFont="1" applyFill="1" applyBorder="1" applyAlignment="1">
      <alignment horizontal="center" vertical="top" wrapText="1"/>
    </xf>
    <xf numFmtId="183" fontId="42" fillId="5" borderId="72" xfId="4" quotePrefix="1" applyNumberFormat="1" applyFont="1" applyFill="1" applyBorder="1" applyAlignment="1">
      <alignment horizontal="center"/>
    </xf>
    <xf numFmtId="183" fontId="42" fillId="5" borderId="73" xfId="4" applyNumberFormat="1" applyFont="1" applyFill="1" applyBorder="1" applyAlignment="1">
      <alignment horizontal="center" vertical="top"/>
    </xf>
    <xf numFmtId="0" fontId="36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179" fontId="38" fillId="0" borderId="74" xfId="0" applyNumberFormat="1" applyFont="1" applyBorder="1" applyAlignment="1">
      <alignment horizontal="center" vertical="center"/>
    </xf>
    <xf numFmtId="41" fontId="38" fillId="8" borderId="75" xfId="2" applyFont="1" applyFill="1" applyBorder="1">
      <alignment vertical="center"/>
    </xf>
    <xf numFmtId="41" fontId="38" fillId="4" borderId="75" xfId="2" applyFont="1" applyFill="1" applyBorder="1">
      <alignment vertical="center"/>
    </xf>
    <xf numFmtId="41" fontId="38" fillId="2" borderId="76" xfId="2" applyFont="1" applyFill="1" applyBorder="1">
      <alignment vertical="center"/>
    </xf>
    <xf numFmtId="179" fontId="38" fillId="0" borderId="77" xfId="0" applyNumberFormat="1" applyFont="1" applyBorder="1" applyAlignment="1">
      <alignment horizontal="center" vertical="center"/>
    </xf>
    <xf numFmtId="41" fontId="38" fillId="8" borderId="78" xfId="2" applyFont="1" applyFill="1" applyBorder="1">
      <alignment vertical="center"/>
    </xf>
    <xf numFmtId="41" fontId="38" fillId="4" borderId="78" xfId="2" applyFont="1" applyFill="1" applyBorder="1">
      <alignment vertical="center"/>
    </xf>
    <xf numFmtId="41" fontId="38" fillId="2" borderId="13" xfId="2" applyFont="1" applyFill="1" applyBorder="1">
      <alignment vertical="center"/>
    </xf>
    <xf numFmtId="179" fontId="38" fillId="0" borderId="79" xfId="0" applyNumberFormat="1" applyFont="1" applyBorder="1" applyAlignment="1">
      <alignment horizontal="center" vertical="center"/>
    </xf>
    <xf numFmtId="41" fontId="38" fillId="8" borderId="80" xfId="2" applyFont="1" applyFill="1" applyBorder="1">
      <alignment vertical="center"/>
    </xf>
    <xf numFmtId="41" fontId="38" fillId="4" borderId="80" xfId="2" applyFont="1" applyFill="1" applyBorder="1">
      <alignment vertical="center"/>
    </xf>
    <xf numFmtId="41" fontId="38" fillId="2" borderId="81" xfId="2" applyFont="1" applyFill="1" applyBorder="1">
      <alignment vertical="center"/>
    </xf>
    <xf numFmtId="0" fontId="38" fillId="0" borderId="82" xfId="0" applyFont="1" applyBorder="1" applyAlignment="1">
      <alignment horizontal="center" vertical="center"/>
    </xf>
    <xf numFmtId="41" fontId="38" fillId="8" borderId="83" xfId="2" applyFont="1" applyFill="1" applyBorder="1">
      <alignment vertical="center"/>
    </xf>
    <xf numFmtId="41" fontId="38" fillId="4" borderId="83" xfId="2" applyFont="1" applyFill="1" applyBorder="1">
      <alignment vertical="center"/>
    </xf>
    <xf numFmtId="41" fontId="38" fillId="2" borderId="22" xfId="2" applyFont="1" applyFill="1" applyBorder="1">
      <alignment vertical="center"/>
    </xf>
    <xf numFmtId="41" fontId="36" fillId="0" borderId="84" xfId="2" applyFont="1" applyFill="1" applyBorder="1" applyAlignment="1">
      <alignment vertical="center"/>
    </xf>
    <xf numFmtId="41" fontId="36" fillId="0" borderId="85" xfId="2" applyFont="1" applyFill="1" applyBorder="1" applyAlignment="1">
      <alignment vertical="center"/>
    </xf>
    <xf numFmtId="41" fontId="36" fillId="6" borderId="85" xfId="2" applyFont="1" applyFill="1" applyBorder="1" applyAlignment="1">
      <alignment vertical="center"/>
    </xf>
    <xf numFmtId="41" fontId="36" fillId="3" borderId="86" xfId="2" applyFont="1" applyFill="1" applyBorder="1" applyAlignment="1">
      <alignment vertical="center"/>
    </xf>
    <xf numFmtId="41" fontId="36" fillId="4" borderId="86" xfId="2" applyFont="1" applyFill="1" applyBorder="1" applyAlignment="1">
      <alignment vertical="center"/>
    </xf>
    <xf numFmtId="41" fontId="41" fillId="0" borderId="24" xfId="2" quotePrefix="1" applyFont="1" applyBorder="1">
      <alignment vertical="center"/>
    </xf>
    <xf numFmtId="0" fontId="41" fillId="5" borderId="0" xfId="0" applyFont="1" applyFill="1" applyBorder="1">
      <alignment vertical="center"/>
    </xf>
    <xf numFmtId="178" fontId="41" fillId="0" borderId="70" xfId="0" applyNumberFormat="1" applyFont="1" applyBorder="1" applyAlignment="1">
      <alignment vertical="center"/>
    </xf>
    <xf numFmtId="178" fontId="41" fillId="0" borderId="71" xfId="0" applyNumberFormat="1" applyFont="1" applyBorder="1" applyAlignment="1">
      <alignment vertical="center"/>
    </xf>
    <xf numFmtId="179" fontId="41" fillId="0" borderId="1" xfId="2" applyNumberFormat="1" applyFont="1" applyBorder="1" applyAlignment="1">
      <alignment horizontal="center" vertical="center"/>
    </xf>
    <xf numFmtId="179" fontId="41" fillId="0" borderId="2" xfId="2" applyNumberFormat="1" applyFont="1" applyBorder="1" applyAlignment="1">
      <alignment horizontal="center" vertical="center"/>
    </xf>
    <xf numFmtId="178" fontId="41" fillId="0" borderId="3" xfId="0" applyNumberFormat="1" applyFont="1" applyBorder="1" applyAlignment="1">
      <alignment horizontal="center" vertical="center"/>
    </xf>
    <xf numFmtId="178" fontId="41" fillId="0" borderId="8" xfId="0" applyNumberFormat="1" applyFont="1" applyFill="1" applyBorder="1">
      <alignment vertical="center"/>
    </xf>
    <xf numFmtId="41" fontId="41" fillId="0" borderId="9" xfId="2" applyFont="1" applyFill="1" applyBorder="1" applyAlignment="1">
      <alignment horizontal="center" vertical="center"/>
    </xf>
    <xf numFmtId="41" fontId="41" fillId="0" borderId="10" xfId="2" applyFont="1" applyFill="1" applyBorder="1" applyAlignment="1">
      <alignment horizontal="center" vertical="center"/>
    </xf>
    <xf numFmtId="41" fontId="41" fillId="0" borderId="11" xfId="2" applyFont="1" applyFill="1" applyBorder="1" applyAlignment="1">
      <alignment horizontal="center" vertical="center"/>
    </xf>
    <xf numFmtId="178" fontId="41" fillId="0" borderId="8" xfId="0" applyNumberFormat="1" applyFont="1" applyBorder="1">
      <alignment vertical="center"/>
    </xf>
    <xf numFmtId="41" fontId="41" fillId="0" borderId="9" xfId="2" applyFont="1" applyBorder="1" applyAlignment="1">
      <alignment horizontal="center" vertical="center"/>
    </xf>
    <xf numFmtId="41" fontId="41" fillId="0" borderId="10" xfId="2" applyFont="1" applyBorder="1" applyAlignment="1">
      <alignment horizontal="center" vertical="center"/>
    </xf>
    <xf numFmtId="178" fontId="41" fillId="5" borderId="12" xfId="0" applyNumberFormat="1" applyFont="1" applyFill="1" applyBorder="1" applyAlignment="1">
      <alignment horizontal="center" vertical="center"/>
    </xf>
    <xf numFmtId="41" fontId="41" fillId="5" borderId="9" xfId="2" applyFont="1" applyFill="1" applyBorder="1" applyAlignment="1">
      <alignment horizontal="center" vertical="center"/>
    </xf>
    <xf numFmtId="41" fontId="41" fillId="5" borderId="13" xfId="2" applyFont="1" applyFill="1" applyBorder="1" applyAlignment="1">
      <alignment horizontal="center" vertical="center"/>
    </xf>
    <xf numFmtId="41" fontId="41" fillId="0" borderId="11" xfId="2" applyFont="1" applyBorder="1" applyAlignment="1">
      <alignment horizontal="center" vertical="center"/>
    </xf>
    <xf numFmtId="41" fontId="41" fillId="5" borderId="87" xfId="2" applyFont="1" applyFill="1" applyBorder="1" applyAlignment="1">
      <alignment horizontal="center" vertical="center"/>
    </xf>
    <xf numFmtId="178" fontId="41" fillId="0" borderId="14" xfId="0" applyNumberFormat="1" applyFont="1" applyBorder="1">
      <alignment vertical="center"/>
    </xf>
    <xf numFmtId="41" fontId="41" fillId="0" borderId="15" xfId="2" applyFont="1" applyBorder="1" applyAlignment="1">
      <alignment horizontal="center" vertical="center"/>
    </xf>
    <xf numFmtId="41" fontId="41" fillId="0" borderId="16" xfId="2" applyFont="1" applyBorder="1" applyAlignment="1">
      <alignment horizontal="center" vertical="center"/>
    </xf>
    <xf numFmtId="41" fontId="41" fillId="0" borderId="5" xfId="2" applyFont="1" applyFill="1" applyBorder="1" applyAlignment="1">
      <alignment horizontal="center" vertical="center"/>
    </xf>
    <xf numFmtId="41" fontId="41" fillId="0" borderId="17" xfId="2" applyFont="1" applyBorder="1" applyAlignment="1">
      <alignment horizontal="center" vertical="center"/>
    </xf>
    <xf numFmtId="178" fontId="41" fillId="0" borderId="4" xfId="0" applyNumberFormat="1" applyFont="1" applyBorder="1">
      <alignment vertical="center"/>
    </xf>
    <xf numFmtId="41" fontId="41" fillId="0" borderId="5" xfId="2" applyFont="1" applyBorder="1" applyAlignment="1">
      <alignment horizontal="center" vertical="center"/>
    </xf>
    <xf numFmtId="41" fontId="41" fillId="0" borderId="6" xfId="2" applyFont="1" applyBorder="1" applyAlignment="1">
      <alignment horizontal="center" vertical="center"/>
    </xf>
    <xf numFmtId="41" fontId="41" fillId="0" borderId="7" xfId="2" applyFont="1" applyBorder="1" applyAlignment="1">
      <alignment horizontal="center" vertical="center"/>
    </xf>
    <xf numFmtId="178" fontId="41" fillId="5" borderId="18" xfId="0" applyNumberFormat="1" applyFont="1" applyFill="1" applyBorder="1" applyAlignment="1">
      <alignment horizontal="center" vertical="center"/>
    </xf>
    <xf numFmtId="41" fontId="41" fillId="5" borderId="19" xfId="2" applyFont="1" applyFill="1" applyBorder="1" applyAlignment="1">
      <alignment horizontal="center" vertical="center"/>
    </xf>
    <xf numFmtId="41" fontId="41" fillId="5" borderId="20" xfId="2" applyFont="1" applyFill="1" applyBorder="1" applyAlignment="1">
      <alignment horizontal="center" vertical="center"/>
    </xf>
    <xf numFmtId="41" fontId="41" fillId="6" borderId="21" xfId="2" applyFont="1" applyFill="1" applyBorder="1" applyAlignment="1">
      <alignment horizontal="center" vertical="center"/>
    </xf>
    <xf numFmtId="41" fontId="41" fillId="6" borderId="22" xfId="2" applyFont="1" applyFill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41" fontId="46" fillId="8" borderId="83" xfId="2" applyFont="1" applyFill="1" applyBorder="1">
      <alignment vertical="center"/>
    </xf>
    <xf numFmtId="41" fontId="46" fillId="2" borderId="22" xfId="2" applyFont="1" applyFill="1" applyBorder="1">
      <alignment vertical="center"/>
    </xf>
    <xf numFmtId="41" fontId="38" fillId="4" borderId="17" xfId="2" applyFont="1" applyFill="1" applyBorder="1">
      <alignment vertical="center"/>
    </xf>
    <xf numFmtId="41" fontId="38" fillId="4" borderId="11" xfId="2" applyFont="1" applyFill="1" applyBorder="1">
      <alignment vertical="center"/>
    </xf>
    <xf numFmtId="41" fontId="38" fillId="4" borderId="91" xfId="2" applyFont="1" applyFill="1" applyBorder="1">
      <alignment vertical="center"/>
    </xf>
    <xf numFmtId="41" fontId="46" fillId="4" borderId="29" xfId="2" applyFont="1" applyFill="1" applyBorder="1">
      <alignment vertical="center"/>
    </xf>
    <xf numFmtId="41" fontId="40" fillId="5" borderId="67" xfId="2" applyFont="1" applyFill="1" applyBorder="1" applyAlignment="1">
      <alignment vertical="center"/>
    </xf>
    <xf numFmtId="176" fontId="41" fillId="5" borderId="36" xfId="1" applyNumberFormat="1" applyFont="1" applyFill="1" applyBorder="1" applyAlignment="1">
      <alignment vertical="center"/>
    </xf>
    <xf numFmtId="176" fontId="41" fillId="5" borderId="93" xfId="1" applyNumberFormat="1" applyFont="1" applyFill="1" applyBorder="1" applyAlignment="1">
      <alignment vertical="center"/>
    </xf>
    <xf numFmtId="177" fontId="40" fillId="11" borderId="94" xfId="4" applyNumberFormat="1" applyFont="1" applyFill="1" applyBorder="1" applyAlignment="1">
      <alignment vertical="center"/>
    </xf>
    <xf numFmtId="41" fontId="36" fillId="0" borderId="9" xfId="4" applyNumberFormat="1" applyFont="1" applyBorder="1" applyAlignment="1">
      <alignment vertical="center"/>
    </xf>
    <xf numFmtId="176" fontId="41" fillId="11" borderId="95" xfId="4" applyNumberFormat="1" applyFont="1" applyFill="1" applyBorder="1" applyAlignment="1">
      <alignment vertical="center"/>
    </xf>
    <xf numFmtId="176" fontId="41" fillId="11" borderId="96" xfId="4" applyNumberFormat="1" applyFont="1" applyFill="1" applyBorder="1" applyAlignment="1">
      <alignment vertical="center"/>
    </xf>
    <xf numFmtId="41" fontId="36" fillId="0" borderId="97" xfId="4" applyNumberFormat="1" applyFont="1" applyBorder="1" applyAlignment="1">
      <alignment vertical="center"/>
    </xf>
    <xf numFmtId="41" fontId="36" fillId="0" borderId="98" xfId="4" applyNumberFormat="1" applyFont="1" applyBorder="1" applyAlignment="1">
      <alignment vertical="center"/>
    </xf>
    <xf numFmtId="41" fontId="36" fillId="0" borderId="47" xfId="2" applyFont="1" applyBorder="1" applyAlignment="1">
      <alignment vertical="center"/>
    </xf>
    <xf numFmtId="41" fontId="36" fillId="0" borderId="68" xfId="2" applyFont="1" applyFill="1" applyBorder="1" applyAlignment="1">
      <alignment vertical="center"/>
    </xf>
    <xf numFmtId="176" fontId="41" fillId="5" borderId="44" xfId="1" applyNumberFormat="1" applyFont="1" applyFill="1" applyBorder="1" applyAlignment="1">
      <alignment vertical="center"/>
    </xf>
    <xf numFmtId="41" fontId="36" fillId="0" borderId="99" xfId="2" applyFont="1" applyBorder="1" applyAlignment="1">
      <alignment vertical="center"/>
    </xf>
    <xf numFmtId="41" fontId="36" fillId="0" borderId="61" xfId="2" applyFont="1" applyBorder="1" applyAlignment="1">
      <alignment vertical="center"/>
    </xf>
    <xf numFmtId="41" fontId="36" fillId="0" borderId="100" xfId="2" applyFont="1" applyFill="1" applyBorder="1" applyAlignment="1">
      <alignment vertical="center"/>
    </xf>
    <xf numFmtId="41" fontId="36" fillId="0" borderId="101" xfId="2" applyFont="1" applyFill="1" applyBorder="1" applyAlignment="1">
      <alignment vertical="center"/>
    </xf>
    <xf numFmtId="41" fontId="36" fillId="9" borderId="62" xfId="2" applyFont="1" applyFill="1" applyBorder="1" applyAlignment="1">
      <alignment vertical="center"/>
    </xf>
    <xf numFmtId="41" fontId="36" fillId="9" borderId="93" xfId="2" applyFont="1" applyFill="1" applyBorder="1" applyAlignment="1">
      <alignment vertical="center"/>
    </xf>
    <xf numFmtId="176" fontId="6" fillId="0" borderId="0" xfId="4" applyNumberFormat="1" applyFont="1" applyAlignment="1">
      <alignment vertical="center"/>
    </xf>
    <xf numFmtId="188" fontId="36" fillId="0" borderId="0" xfId="4" applyNumberFormat="1" applyFont="1" applyAlignment="1">
      <alignment vertical="center"/>
    </xf>
    <xf numFmtId="0" fontId="10" fillId="0" borderId="0" xfId="0" applyNumberFormat="1" applyFont="1">
      <alignment vertical="center"/>
    </xf>
    <xf numFmtId="0" fontId="47" fillId="0" borderId="0" xfId="4" applyFont="1" applyAlignment="1">
      <alignment vertical="center"/>
    </xf>
    <xf numFmtId="0" fontId="48" fillId="0" borderId="0" xfId="4" applyFont="1" applyAlignment="1">
      <alignment vertical="center"/>
    </xf>
    <xf numFmtId="0" fontId="48" fillId="0" borderId="0" xfId="4" quotePrefix="1" applyFont="1" applyAlignment="1">
      <alignment vertical="center"/>
    </xf>
    <xf numFmtId="0" fontId="43" fillId="0" borderId="102" xfId="4" applyFont="1" applyBorder="1" applyAlignment="1">
      <alignment vertical="center"/>
    </xf>
    <xf numFmtId="41" fontId="40" fillId="5" borderId="99" xfId="2" applyFont="1" applyFill="1" applyBorder="1" applyAlignment="1">
      <alignment vertical="center"/>
    </xf>
    <xf numFmtId="176" fontId="41" fillId="5" borderId="103" xfId="1" applyNumberFormat="1" applyFont="1" applyFill="1" applyBorder="1" applyAlignment="1">
      <alignment vertical="center"/>
    </xf>
    <xf numFmtId="176" fontId="41" fillId="5" borderId="104" xfId="1" applyNumberFormat="1" applyFont="1" applyFill="1" applyBorder="1" applyAlignment="1">
      <alignment vertical="center"/>
    </xf>
    <xf numFmtId="0" fontId="49" fillId="0" borderId="0" xfId="0" applyFont="1">
      <alignment vertical="center"/>
    </xf>
    <xf numFmtId="49" fontId="49" fillId="0" borderId="0" xfId="0" applyNumberFormat="1" applyFont="1" applyBorder="1">
      <alignment vertical="center"/>
    </xf>
    <xf numFmtId="177" fontId="49" fillId="0" borderId="0" xfId="0" applyNumberFormat="1" applyFont="1">
      <alignment vertical="center"/>
    </xf>
    <xf numFmtId="0" fontId="0" fillId="0" borderId="0" xfId="0" applyFont="1">
      <alignment vertical="center"/>
    </xf>
    <xf numFmtId="41" fontId="41" fillId="0" borderId="44" xfId="0" applyNumberFormat="1" applyFont="1" applyBorder="1">
      <alignment vertical="center"/>
    </xf>
    <xf numFmtId="0" fontId="41" fillId="5" borderId="105" xfId="0" applyFont="1" applyFill="1" applyBorder="1">
      <alignment vertical="center"/>
    </xf>
    <xf numFmtId="0" fontId="41" fillId="5" borderId="106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41" fillId="0" borderId="24" xfId="0" applyFont="1" applyFill="1" applyBorder="1">
      <alignment vertical="center"/>
    </xf>
    <xf numFmtId="41" fontId="41" fillId="0" borderId="24" xfId="2" applyFont="1" applyFill="1" applyBorder="1">
      <alignment vertical="center"/>
    </xf>
    <xf numFmtId="0" fontId="6" fillId="0" borderId="0" xfId="4" applyFont="1" applyFill="1" applyAlignment="1">
      <alignment vertical="center"/>
    </xf>
    <xf numFmtId="0" fontId="44" fillId="0" borderId="0" xfId="4" applyFont="1" applyFill="1" applyBorder="1" applyAlignment="1">
      <alignment horizontal="center" vertical="center"/>
    </xf>
    <xf numFmtId="41" fontId="6" fillId="0" borderId="0" xfId="4" applyNumberFormat="1" applyFont="1" applyFill="1" applyAlignment="1">
      <alignment vertical="center"/>
    </xf>
    <xf numFmtId="41" fontId="10" fillId="0" borderId="0" xfId="0" applyNumberFormat="1" applyFont="1">
      <alignment vertical="center"/>
    </xf>
    <xf numFmtId="176" fontId="10" fillId="0" borderId="0" xfId="1" applyNumberFormat="1" applyFont="1">
      <alignment vertical="center"/>
    </xf>
    <xf numFmtId="41" fontId="41" fillId="0" borderId="0" xfId="2" applyFont="1" applyFill="1" applyBorder="1">
      <alignment vertical="center"/>
    </xf>
    <xf numFmtId="41" fontId="41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178" fontId="11" fillId="0" borderId="1" xfId="2" applyNumberFormat="1" applyFont="1" applyBorder="1" applyAlignment="1">
      <alignment horizontal="center" vertical="center"/>
    </xf>
    <xf numFmtId="178" fontId="11" fillId="0" borderId="2" xfId="2" applyNumberFormat="1" applyFont="1" applyBorder="1" applyAlignment="1">
      <alignment horizontal="center" vertical="center"/>
    </xf>
    <xf numFmtId="178" fontId="11" fillId="7" borderId="12" xfId="0" applyNumberFormat="1" applyFont="1" applyFill="1" applyBorder="1" applyAlignment="1">
      <alignment horizontal="center" vertical="center"/>
    </xf>
    <xf numFmtId="41" fontId="11" fillId="7" borderId="9" xfId="2" applyFont="1" applyFill="1" applyBorder="1" applyAlignment="1">
      <alignment horizontal="center" vertical="center"/>
    </xf>
    <xf numFmtId="41" fontId="11" fillId="7" borderId="13" xfId="2" applyFont="1" applyFill="1" applyBorder="1" applyAlignment="1">
      <alignment horizontal="center" vertical="center"/>
    </xf>
    <xf numFmtId="178" fontId="11" fillId="7" borderId="18" xfId="0" applyNumberFormat="1" applyFont="1" applyFill="1" applyBorder="1" applyAlignment="1">
      <alignment horizontal="center" vertical="center"/>
    </xf>
    <xf numFmtId="41" fontId="11" fillId="7" borderId="19" xfId="2" applyFont="1" applyFill="1" applyBorder="1" applyAlignment="1">
      <alignment horizontal="center" vertical="center"/>
    </xf>
    <xf numFmtId="41" fontId="11" fillId="7" borderId="20" xfId="2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178" fontId="11" fillId="0" borderId="107" xfId="2" applyNumberFormat="1" applyFont="1" applyBorder="1" applyAlignment="1">
      <alignment horizontal="center" vertical="center"/>
    </xf>
    <xf numFmtId="178" fontId="11" fillId="0" borderId="108" xfId="2" applyNumberFormat="1" applyFont="1" applyBorder="1" applyAlignment="1">
      <alignment horizontal="center" vertical="center"/>
    </xf>
    <xf numFmtId="178" fontId="11" fillId="0" borderId="109" xfId="0" applyNumberFormat="1" applyFont="1" applyBorder="1" applyAlignment="1">
      <alignment horizontal="center" vertical="center"/>
    </xf>
    <xf numFmtId="178" fontId="11" fillId="7" borderId="110" xfId="0" applyNumberFormat="1" applyFont="1" applyFill="1" applyBorder="1" applyAlignment="1">
      <alignment horizontal="center" vertical="center"/>
    </xf>
    <xf numFmtId="41" fontId="11" fillId="7" borderId="21" xfId="2" applyFont="1" applyFill="1" applyBorder="1" applyAlignment="1">
      <alignment horizontal="center" vertical="center"/>
    </xf>
    <xf numFmtId="41" fontId="11" fillId="7" borderId="22" xfId="2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11" fillId="0" borderId="110" xfId="0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15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15" xfId="0" applyFont="1" applyBorder="1" applyAlignment="1">
      <alignment horizontal="right" vertical="center"/>
    </xf>
    <xf numFmtId="0" fontId="22" fillId="0" borderId="110" xfId="0" applyFont="1" applyBorder="1" applyAlignment="1">
      <alignment horizontal="left" vertical="center"/>
    </xf>
    <xf numFmtId="0" fontId="50" fillId="12" borderId="110" xfId="0" applyFont="1" applyFill="1" applyBorder="1" applyAlignment="1">
      <alignment horizontal="center" vertical="center"/>
    </xf>
    <xf numFmtId="3" fontId="50" fillId="12" borderId="116" xfId="0" applyNumberFormat="1" applyFont="1" applyFill="1" applyBorder="1" applyAlignment="1">
      <alignment horizontal="right" vertical="center"/>
    </xf>
    <xf numFmtId="3" fontId="50" fillId="12" borderId="117" xfId="0" applyNumberFormat="1" applyFont="1" applyFill="1" applyBorder="1" applyAlignment="1">
      <alignment horizontal="right" vertical="center"/>
    </xf>
    <xf numFmtId="0" fontId="0" fillId="0" borderId="168" xfId="0" applyBorder="1" applyAlignment="1">
      <alignment vertical="center" wrapText="1"/>
    </xf>
    <xf numFmtId="3" fontId="11" fillId="0" borderId="118" xfId="0" applyNumberFormat="1" applyFont="1" applyBorder="1" applyAlignment="1">
      <alignment horizontal="right" vertical="center"/>
    </xf>
    <xf numFmtId="0" fontId="11" fillId="0" borderId="118" xfId="0" applyFont="1" applyBorder="1" applyAlignment="1">
      <alignment horizontal="right" vertical="center"/>
    </xf>
    <xf numFmtId="3" fontId="11" fillId="0" borderId="119" xfId="0" applyNumberFormat="1" applyFont="1" applyBorder="1" applyAlignment="1">
      <alignment horizontal="right" vertical="center"/>
    </xf>
    <xf numFmtId="3" fontId="50" fillId="12" borderId="22" xfId="0" applyNumberFormat="1" applyFont="1" applyFill="1" applyBorder="1" applyAlignment="1">
      <alignment horizontal="right" vertical="center"/>
    </xf>
    <xf numFmtId="3" fontId="50" fillId="12" borderId="115" xfId="0" applyNumberFormat="1" applyFont="1" applyFill="1" applyBorder="1" applyAlignment="1">
      <alignment horizontal="right" vertical="center"/>
    </xf>
    <xf numFmtId="0" fontId="11" fillId="0" borderId="120" xfId="0" applyFont="1" applyBorder="1" applyAlignment="1">
      <alignment horizontal="right" vertical="center"/>
    </xf>
    <xf numFmtId="3" fontId="11" fillId="0" borderId="120" xfId="0" applyNumberFormat="1" applyFont="1" applyBorder="1" applyAlignment="1">
      <alignment horizontal="right" vertical="center"/>
    </xf>
    <xf numFmtId="3" fontId="11" fillId="0" borderId="121" xfId="0" applyNumberFormat="1" applyFont="1" applyBorder="1" applyAlignment="1">
      <alignment horizontal="right" vertical="center"/>
    </xf>
    <xf numFmtId="3" fontId="50" fillId="12" borderId="122" xfId="0" applyNumberFormat="1" applyFont="1" applyFill="1" applyBorder="1" applyAlignment="1">
      <alignment horizontal="right" vertical="center"/>
    </xf>
    <xf numFmtId="3" fontId="50" fillId="12" borderId="123" xfId="0" applyNumberFormat="1" applyFont="1" applyFill="1" applyBorder="1" applyAlignment="1">
      <alignment horizontal="right" vertical="center"/>
    </xf>
    <xf numFmtId="0" fontId="28" fillId="8" borderId="124" xfId="5" applyFont="1" applyFill="1" applyBorder="1" applyAlignment="1">
      <alignment horizontal="center" vertical="center"/>
    </xf>
    <xf numFmtId="0" fontId="28" fillId="8" borderId="1" xfId="5" applyFont="1" applyFill="1" applyBorder="1" applyAlignment="1">
      <alignment horizontal="center" vertical="center"/>
    </xf>
    <xf numFmtId="0" fontId="28" fillId="8" borderId="2" xfId="5" applyFont="1" applyFill="1" applyBorder="1" applyAlignment="1">
      <alignment horizontal="center" vertical="center"/>
    </xf>
    <xf numFmtId="0" fontId="28" fillId="8" borderId="3" xfId="5" applyFont="1" applyFill="1" applyBorder="1" applyAlignment="1">
      <alignment horizontal="center" vertical="center"/>
    </xf>
    <xf numFmtId="0" fontId="29" fillId="8" borderId="125" xfId="6" applyFont="1" applyFill="1" applyBorder="1" applyAlignment="1">
      <alignment horizontal="centerContinuous" vertical="center"/>
    </xf>
    <xf numFmtId="0" fontId="29" fillId="0" borderId="109" xfId="6" applyFont="1" applyBorder="1" applyAlignment="1">
      <alignment horizontal="centerContinuous" vertical="center"/>
    </xf>
    <xf numFmtId="41" fontId="29" fillId="0" borderId="125" xfId="2" applyFont="1" applyBorder="1">
      <alignment vertical="center"/>
    </xf>
    <xf numFmtId="41" fontId="29" fillId="0" borderId="108" xfId="2" applyFont="1" applyBorder="1">
      <alignment vertical="center"/>
    </xf>
    <xf numFmtId="41" fontId="29" fillId="0" borderId="109" xfId="2" applyFont="1" applyBorder="1">
      <alignment vertical="center"/>
    </xf>
    <xf numFmtId="0" fontId="29" fillId="0" borderId="126" xfId="6" applyFont="1" applyBorder="1" applyAlignment="1">
      <alignment horizontal="centerContinuous" vertical="center"/>
    </xf>
    <xf numFmtId="41" fontId="29" fillId="0" borderId="127" xfId="2" applyFont="1" applyBorder="1">
      <alignment vertical="center"/>
    </xf>
    <xf numFmtId="41" fontId="29" fillId="0" borderId="126" xfId="2" applyFont="1" applyBorder="1">
      <alignment vertical="center"/>
    </xf>
    <xf numFmtId="41" fontId="29" fillId="0" borderId="6" xfId="2" applyFont="1" applyBorder="1">
      <alignment vertical="center"/>
    </xf>
    <xf numFmtId="0" fontId="28" fillId="8" borderId="13" xfId="6" applyFont="1" applyFill="1" applyBorder="1" applyAlignment="1">
      <alignment horizontal="centerContinuous" vertical="center"/>
    </xf>
    <xf numFmtId="41" fontId="28" fillId="8" borderId="78" xfId="2" applyFont="1" applyFill="1" applyBorder="1">
      <alignment vertical="center"/>
    </xf>
    <xf numFmtId="41" fontId="28" fillId="8" borderId="10" xfId="2" applyFont="1" applyFill="1" applyBorder="1">
      <alignment vertical="center"/>
    </xf>
    <xf numFmtId="0" fontId="29" fillId="0" borderId="7" xfId="6" applyFont="1" applyBorder="1" applyAlignment="1">
      <alignment horizontal="centerContinuous" vertical="center"/>
    </xf>
    <xf numFmtId="41" fontId="29" fillId="0" borderId="128" xfId="2" applyFont="1" applyBorder="1">
      <alignment vertical="center"/>
    </xf>
    <xf numFmtId="41" fontId="29" fillId="0" borderId="7" xfId="2" applyFont="1" applyBorder="1">
      <alignment vertical="center"/>
    </xf>
    <xf numFmtId="0" fontId="29" fillId="0" borderId="20" xfId="6" applyFont="1" applyBorder="1" applyAlignment="1">
      <alignment horizontal="centerContinuous" vertical="center"/>
    </xf>
    <xf numFmtId="41" fontId="29" fillId="0" borderId="129" xfId="2" applyFont="1" applyBorder="1">
      <alignment vertical="center"/>
    </xf>
    <xf numFmtId="41" fontId="29" fillId="0" borderId="87" xfId="2" applyFont="1" applyBorder="1">
      <alignment vertical="center"/>
    </xf>
    <xf numFmtId="41" fontId="29" fillId="0" borderId="130" xfId="2" applyFont="1" applyBorder="1">
      <alignment vertical="center"/>
    </xf>
    <xf numFmtId="0" fontId="28" fillId="8" borderId="131" xfId="6" applyFont="1" applyFill="1" applyBorder="1" applyAlignment="1">
      <alignment horizontal="centerContinuous" vertical="center"/>
    </xf>
    <xf numFmtId="0" fontId="28" fillId="6" borderId="29" xfId="6" applyFont="1" applyFill="1" applyBorder="1" applyAlignment="1">
      <alignment horizontal="centerContinuous" vertical="center"/>
    </xf>
    <xf numFmtId="41" fontId="28" fillId="6" borderId="83" xfId="2" applyFont="1" applyFill="1" applyBorder="1">
      <alignment vertical="center"/>
    </xf>
    <xf numFmtId="41" fontId="28" fillId="6" borderId="132" xfId="2" applyFont="1" applyFill="1" applyBorder="1">
      <alignment vertical="center"/>
    </xf>
    <xf numFmtId="0" fontId="30" fillId="8" borderId="124" xfId="5" applyFont="1" applyFill="1" applyBorder="1" applyAlignment="1">
      <alignment horizontal="center" vertical="center"/>
    </xf>
    <xf numFmtId="0" fontId="30" fillId="8" borderId="1" xfId="5" applyFont="1" applyFill="1" applyBorder="1" applyAlignment="1">
      <alignment horizontal="center" vertical="center"/>
    </xf>
    <xf numFmtId="0" fontId="30" fillId="8" borderId="2" xfId="5" applyFont="1" applyFill="1" applyBorder="1" applyAlignment="1">
      <alignment horizontal="center" vertical="center"/>
    </xf>
    <xf numFmtId="0" fontId="30" fillId="8" borderId="3" xfId="5" applyFont="1" applyFill="1" applyBorder="1" applyAlignment="1">
      <alignment horizontal="center" vertical="center"/>
    </xf>
    <xf numFmtId="0" fontId="27" fillId="8" borderId="125" xfId="6" applyFont="1" applyFill="1" applyBorder="1" applyAlignment="1">
      <alignment horizontal="centerContinuous" vertical="center"/>
    </xf>
    <xf numFmtId="0" fontId="27" fillId="0" borderId="109" xfId="6" applyFont="1" applyBorder="1" applyAlignment="1">
      <alignment horizontal="centerContinuous" vertical="center"/>
    </xf>
    <xf numFmtId="41" fontId="27" fillId="0" borderId="125" xfId="2" applyFont="1" applyBorder="1">
      <alignment vertical="center"/>
    </xf>
    <xf numFmtId="41" fontId="27" fillId="0" borderId="133" xfId="2" applyFont="1" applyBorder="1">
      <alignment vertical="center"/>
    </xf>
    <xf numFmtId="41" fontId="27" fillId="0" borderId="108" xfId="2" applyFont="1" applyBorder="1">
      <alignment vertical="center"/>
    </xf>
    <xf numFmtId="41" fontId="27" fillId="0" borderId="134" xfId="2" applyFont="1" applyBorder="1">
      <alignment vertical="center"/>
    </xf>
    <xf numFmtId="189" fontId="31" fillId="0" borderId="108" xfId="3" applyNumberFormat="1" applyFont="1" applyBorder="1" applyAlignment="1">
      <alignment vertical="center"/>
    </xf>
    <xf numFmtId="41" fontId="27" fillId="0" borderId="109" xfId="2" applyFont="1" applyBorder="1">
      <alignment vertical="center"/>
    </xf>
    <xf numFmtId="0" fontId="27" fillId="0" borderId="126" xfId="6" applyFont="1" applyBorder="1" applyAlignment="1">
      <alignment horizontal="centerContinuous" vertical="center"/>
    </xf>
    <xf numFmtId="41" fontId="27" fillId="0" borderId="135" xfId="2" applyFont="1" applyBorder="1">
      <alignment vertical="center"/>
    </xf>
    <xf numFmtId="41" fontId="27" fillId="0" borderId="127" xfId="2" applyFont="1" applyBorder="1">
      <alignment vertical="center"/>
    </xf>
    <xf numFmtId="41" fontId="27" fillId="0" borderId="136" xfId="2" applyFont="1" applyBorder="1">
      <alignment vertical="center"/>
    </xf>
    <xf numFmtId="189" fontId="31" fillId="0" borderId="127" xfId="3" applyNumberFormat="1" applyFont="1" applyBorder="1" applyAlignment="1">
      <alignment vertical="center"/>
    </xf>
    <xf numFmtId="41" fontId="27" fillId="0" borderId="126" xfId="2" applyFont="1" applyBorder="1">
      <alignment vertical="center"/>
    </xf>
    <xf numFmtId="41" fontId="27" fillId="0" borderId="6" xfId="2" applyFont="1" applyBorder="1">
      <alignment vertical="center"/>
    </xf>
    <xf numFmtId="0" fontId="30" fillId="8" borderId="13" xfId="6" applyFont="1" applyFill="1" applyBorder="1" applyAlignment="1">
      <alignment horizontal="centerContinuous" vertical="center"/>
    </xf>
    <xf numFmtId="41" fontId="30" fillId="8" borderId="78" xfId="2" applyFont="1" applyFill="1" applyBorder="1">
      <alignment vertical="center"/>
    </xf>
    <xf numFmtId="41" fontId="30" fillId="8" borderId="137" xfId="2" applyFont="1" applyFill="1" applyBorder="1">
      <alignment vertical="center"/>
    </xf>
    <xf numFmtId="41" fontId="30" fillId="8" borderId="10" xfId="2" applyFont="1" applyFill="1" applyBorder="1">
      <alignment vertical="center"/>
    </xf>
    <xf numFmtId="41" fontId="30" fillId="8" borderId="77" xfId="2" applyFont="1" applyFill="1" applyBorder="1">
      <alignment vertical="center"/>
    </xf>
    <xf numFmtId="0" fontId="27" fillId="0" borderId="7" xfId="6" applyFont="1" applyBorder="1" applyAlignment="1">
      <alignment horizontal="centerContinuous" vertical="center"/>
    </xf>
    <xf numFmtId="41" fontId="27" fillId="0" borderId="128" xfId="2" applyFont="1" applyBorder="1">
      <alignment vertical="center"/>
    </xf>
    <xf numFmtId="41" fontId="27" fillId="0" borderId="138" xfId="2" applyFont="1" applyBorder="1">
      <alignment vertical="center"/>
    </xf>
    <xf numFmtId="41" fontId="27" fillId="0" borderId="139" xfId="2" applyFont="1" applyBorder="1">
      <alignment vertical="center"/>
    </xf>
    <xf numFmtId="41" fontId="27" fillId="0" borderId="7" xfId="2" applyFont="1" applyBorder="1">
      <alignment vertical="center"/>
    </xf>
    <xf numFmtId="0" fontId="27" fillId="0" borderId="20" xfId="6" applyFont="1" applyBorder="1" applyAlignment="1">
      <alignment horizontal="centerContinuous" vertical="center"/>
    </xf>
    <xf numFmtId="41" fontId="27" fillId="0" borderId="129" xfId="2" applyFont="1" applyBorder="1">
      <alignment vertical="center"/>
    </xf>
    <xf numFmtId="41" fontId="27" fillId="0" borderId="140" xfId="2" applyFont="1" applyBorder="1">
      <alignment vertical="center"/>
    </xf>
    <xf numFmtId="41" fontId="27" fillId="0" borderId="87" xfId="2" applyFont="1" applyBorder="1">
      <alignment vertical="center"/>
    </xf>
    <xf numFmtId="41" fontId="27" fillId="0" borderId="130" xfId="2" applyFont="1" applyBorder="1">
      <alignment vertical="center"/>
    </xf>
    <xf numFmtId="41" fontId="30" fillId="6" borderId="83" xfId="2" applyFont="1" applyFill="1" applyBorder="1">
      <alignment vertical="center"/>
    </xf>
    <xf numFmtId="41" fontId="30" fillId="6" borderId="131" xfId="2" applyFont="1" applyFill="1" applyBorder="1">
      <alignment vertical="center"/>
    </xf>
    <xf numFmtId="41" fontId="30" fillId="6" borderId="132" xfId="2" applyFont="1" applyFill="1" applyBorder="1">
      <alignment vertical="center"/>
    </xf>
    <xf numFmtId="41" fontId="29" fillId="0" borderId="88" xfId="2" applyFont="1" applyBorder="1">
      <alignment vertical="center"/>
    </xf>
    <xf numFmtId="41" fontId="29" fillId="0" borderId="141" xfId="2" applyFont="1" applyBorder="1">
      <alignment vertical="center"/>
    </xf>
    <xf numFmtId="41" fontId="28" fillId="8" borderId="142" xfId="2" applyFont="1" applyFill="1" applyBorder="1">
      <alignment vertical="center"/>
    </xf>
    <xf numFmtId="41" fontId="28" fillId="8" borderId="11" xfId="2" applyFont="1" applyFill="1" applyBorder="1">
      <alignment vertical="center"/>
    </xf>
    <xf numFmtId="41" fontId="29" fillId="0" borderId="143" xfId="2" applyFont="1" applyBorder="1">
      <alignment vertical="center"/>
    </xf>
    <xf numFmtId="0" fontId="29" fillId="0" borderId="144" xfId="6" applyFont="1" applyBorder="1" applyAlignment="1">
      <alignment horizontal="centerContinuous" vertical="center"/>
    </xf>
    <xf numFmtId="41" fontId="29" fillId="0" borderId="145" xfId="2" applyFont="1" applyBorder="1">
      <alignment vertical="center"/>
    </xf>
    <xf numFmtId="41" fontId="29" fillId="0" borderId="146" xfId="2" applyFont="1" applyBorder="1">
      <alignment vertical="center"/>
    </xf>
    <xf numFmtId="41" fontId="29" fillId="0" borderId="147" xfId="2" applyFont="1" applyBorder="1">
      <alignment vertical="center"/>
    </xf>
    <xf numFmtId="41" fontId="29" fillId="0" borderId="144" xfId="2" applyFont="1" applyBorder="1">
      <alignment vertical="center"/>
    </xf>
    <xf numFmtId="41" fontId="29" fillId="0" borderId="148" xfId="2" applyFont="1" applyBorder="1">
      <alignment vertical="center"/>
    </xf>
    <xf numFmtId="0" fontId="28" fillId="8" borderId="83" xfId="6" applyFont="1" applyFill="1" applyBorder="1" applyAlignment="1">
      <alignment horizontal="centerContinuous" vertical="center"/>
    </xf>
    <xf numFmtId="41" fontId="28" fillId="6" borderId="89" xfId="2" applyFont="1" applyFill="1" applyBorder="1">
      <alignment vertical="center"/>
    </xf>
    <xf numFmtId="41" fontId="28" fillId="6" borderId="29" xfId="2" applyFont="1" applyFill="1" applyBorder="1">
      <alignment vertical="center"/>
    </xf>
    <xf numFmtId="41" fontId="28" fillId="8" borderId="124" xfId="2" applyFont="1" applyFill="1" applyBorder="1" applyAlignment="1">
      <alignment horizontal="centerContinuous" vertical="center"/>
    </xf>
    <xf numFmtId="41" fontId="28" fillId="8" borderId="149" xfId="2" applyFont="1" applyFill="1" applyBorder="1" applyAlignment="1">
      <alignment horizontal="centerContinuous" vertical="center"/>
    </xf>
    <xf numFmtId="41" fontId="28" fillId="8" borderId="2" xfId="2" applyFont="1" applyFill="1" applyBorder="1" applyAlignment="1">
      <alignment horizontal="centerContinuous" vertical="center"/>
    </xf>
    <xf numFmtId="41" fontId="28" fillId="8" borderId="3" xfId="2" applyFont="1" applyFill="1" applyBorder="1" applyAlignment="1">
      <alignment horizontal="centerContinuous" vertical="center"/>
    </xf>
    <xf numFmtId="41" fontId="29" fillId="0" borderId="116" xfId="0" applyNumberFormat="1" applyFont="1" applyBorder="1" applyAlignment="1">
      <alignment horizontal="right" vertical="center"/>
    </xf>
    <xf numFmtId="41" fontId="29" fillId="0" borderId="141" xfId="0" applyNumberFormat="1" applyFont="1" applyBorder="1" applyAlignment="1">
      <alignment horizontal="right" vertical="center"/>
    </xf>
    <xf numFmtId="41" fontId="29" fillId="0" borderId="127" xfId="0" applyNumberFormat="1" applyFont="1" applyBorder="1" applyAlignment="1">
      <alignment horizontal="right" vertical="center"/>
    </xf>
    <xf numFmtId="41" fontId="29" fillId="0" borderId="126" xfId="0" applyNumberFormat="1" applyFont="1" applyBorder="1" applyAlignment="1">
      <alignment horizontal="right" vertical="center"/>
    </xf>
    <xf numFmtId="41" fontId="29" fillId="0" borderId="143" xfId="0" applyNumberFormat="1" applyFont="1" applyBorder="1" applyAlignment="1">
      <alignment horizontal="right" vertical="center"/>
    </xf>
    <xf numFmtId="41" fontId="29" fillId="0" borderId="6" xfId="0" applyNumberFormat="1" applyFont="1" applyBorder="1" applyAlignment="1">
      <alignment horizontal="right" vertical="center"/>
    </xf>
    <xf numFmtId="41" fontId="29" fillId="0" borderId="7" xfId="0" applyNumberFormat="1" applyFont="1" applyBorder="1" applyAlignment="1">
      <alignment horizontal="right" vertical="center"/>
    </xf>
    <xf numFmtId="0" fontId="28" fillId="8" borderId="125" xfId="6" applyFont="1" applyFill="1" applyBorder="1" applyAlignment="1">
      <alignment horizontal="centerContinuous" vertical="center"/>
    </xf>
    <xf numFmtId="41" fontId="28" fillId="8" borderId="78" xfId="0" applyNumberFormat="1" applyFont="1" applyFill="1" applyBorder="1" applyAlignment="1">
      <alignment horizontal="right" vertical="center"/>
    </xf>
    <xf numFmtId="41" fontId="28" fillId="8" borderId="143" xfId="0" applyNumberFormat="1" applyFont="1" applyFill="1" applyBorder="1" applyAlignment="1">
      <alignment horizontal="right" vertical="center"/>
    </xf>
    <xf numFmtId="41" fontId="28" fillId="8" borderId="6" xfId="0" applyNumberFormat="1" applyFont="1" applyFill="1" applyBorder="1" applyAlignment="1">
      <alignment horizontal="right" vertical="center"/>
    </xf>
    <xf numFmtId="41" fontId="28" fillId="8" borderId="10" xfId="0" applyNumberFormat="1" applyFont="1" applyFill="1" applyBorder="1" applyAlignment="1">
      <alignment horizontal="right" vertical="center"/>
    </xf>
    <xf numFmtId="41" fontId="28" fillId="8" borderId="7" xfId="0" applyNumberFormat="1" applyFont="1" applyFill="1" applyBorder="1" applyAlignment="1">
      <alignment horizontal="right" vertical="center"/>
    </xf>
    <xf numFmtId="41" fontId="28" fillId="8" borderId="13" xfId="0" applyNumberFormat="1" applyFont="1" applyFill="1" applyBorder="1" applyAlignment="1">
      <alignment horizontal="right" vertical="center"/>
    </xf>
    <xf numFmtId="41" fontId="28" fillId="8" borderId="142" xfId="0" applyNumberFormat="1" applyFont="1" applyFill="1" applyBorder="1" applyAlignment="1">
      <alignment horizontal="right" vertical="center"/>
    </xf>
    <xf numFmtId="41" fontId="28" fillId="8" borderId="11" xfId="0" applyNumberFormat="1" applyFont="1" applyFill="1" applyBorder="1" applyAlignment="1">
      <alignment horizontal="right" vertical="center"/>
    </xf>
    <xf numFmtId="0" fontId="29" fillId="0" borderId="11" xfId="6" applyFont="1" applyBorder="1" applyAlignment="1">
      <alignment horizontal="centerContinuous" vertical="center"/>
    </xf>
    <xf numFmtId="0" fontId="28" fillId="8" borderId="20" xfId="6" applyFont="1" applyFill="1" applyBorder="1" applyAlignment="1">
      <alignment horizontal="centerContinuous" vertical="center"/>
    </xf>
    <xf numFmtId="41" fontId="28" fillId="8" borderId="20" xfId="0" applyNumberFormat="1" applyFont="1" applyFill="1" applyBorder="1" applyAlignment="1">
      <alignment horizontal="right" vertical="center"/>
    </xf>
    <xf numFmtId="41" fontId="28" fillId="8" borderId="148" xfId="0" applyNumberFormat="1" applyFont="1" applyFill="1" applyBorder="1" applyAlignment="1">
      <alignment horizontal="right" vertical="center"/>
    </xf>
    <xf numFmtId="41" fontId="28" fillId="8" borderId="87" xfId="0" applyNumberFormat="1" applyFont="1" applyFill="1" applyBorder="1" applyAlignment="1">
      <alignment horizontal="right" vertical="center"/>
    </xf>
    <xf numFmtId="41" fontId="28" fillId="8" borderId="130" xfId="0" applyNumberFormat="1" applyFont="1" applyFill="1" applyBorder="1" applyAlignment="1">
      <alignment horizontal="right" vertical="center"/>
    </xf>
    <xf numFmtId="0" fontId="28" fillId="6" borderId="83" xfId="6" applyFont="1" applyFill="1" applyBorder="1" applyAlignment="1">
      <alignment horizontal="centerContinuous" vertical="center"/>
    </xf>
    <xf numFmtId="41" fontId="28" fillId="6" borderId="83" xfId="0" applyNumberFormat="1" applyFont="1" applyFill="1" applyBorder="1" applyAlignment="1">
      <alignment horizontal="right" vertical="center"/>
    </xf>
    <xf numFmtId="41" fontId="28" fillId="6" borderId="89" xfId="0" applyNumberFormat="1" applyFont="1" applyFill="1" applyBorder="1" applyAlignment="1">
      <alignment horizontal="right" vertical="center"/>
    </xf>
    <xf numFmtId="41" fontId="28" fillId="6" borderId="132" xfId="0" applyNumberFormat="1" applyFont="1" applyFill="1" applyBorder="1" applyAlignment="1">
      <alignment horizontal="right" vertical="center"/>
    </xf>
    <xf numFmtId="41" fontId="28" fillId="6" borderId="29" xfId="0" applyNumberFormat="1" applyFont="1" applyFill="1" applyBorder="1" applyAlignment="1">
      <alignment horizontal="right" vertical="center"/>
    </xf>
    <xf numFmtId="0" fontId="28" fillId="6" borderId="125" xfId="6" applyFont="1" applyFill="1" applyBorder="1" applyAlignment="1">
      <alignment horizontal="centerContinuous" vertical="center"/>
    </xf>
    <xf numFmtId="41" fontId="28" fillId="6" borderId="116" xfId="0" applyNumberFormat="1" applyFont="1" applyFill="1" applyBorder="1" applyAlignment="1">
      <alignment horizontal="right" vertical="center"/>
    </xf>
    <xf numFmtId="41" fontId="28" fillId="6" borderId="141" xfId="0" applyNumberFormat="1" applyFont="1" applyFill="1" applyBorder="1" applyAlignment="1">
      <alignment horizontal="right" vertical="center"/>
    </xf>
    <xf numFmtId="41" fontId="28" fillId="6" borderId="127" xfId="0" applyNumberFormat="1" applyFont="1" applyFill="1" applyBorder="1" applyAlignment="1">
      <alignment horizontal="right" vertical="center"/>
    </xf>
    <xf numFmtId="41" fontId="28" fillId="6" borderId="126" xfId="0" applyNumberFormat="1" applyFont="1" applyFill="1" applyBorder="1" applyAlignment="1">
      <alignment horizontal="right" vertical="center"/>
    </xf>
    <xf numFmtId="0" fontId="28" fillId="6" borderId="78" xfId="6" applyFont="1" applyFill="1" applyBorder="1" applyAlignment="1">
      <alignment horizontal="centerContinuous" vertical="center"/>
    </xf>
    <xf numFmtId="41" fontId="28" fillId="6" borderId="13" xfId="0" applyNumberFormat="1" applyFont="1" applyFill="1" applyBorder="1" applyAlignment="1">
      <alignment horizontal="right" vertical="center"/>
    </xf>
    <xf numFmtId="41" fontId="28" fillId="6" borderId="142" xfId="0" applyNumberFormat="1" applyFont="1" applyFill="1" applyBorder="1" applyAlignment="1">
      <alignment horizontal="right" vertical="center"/>
    </xf>
    <xf numFmtId="41" fontId="28" fillId="6" borderId="10" xfId="0" applyNumberFormat="1" applyFont="1" applyFill="1" applyBorder="1" applyAlignment="1">
      <alignment horizontal="right" vertical="center"/>
    </xf>
    <xf numFmtId="41" fontId="28" fillId="6" borderId="11" xfId="0" applyNumberFormat="1" applyFont="1" applyFill="1" applyBorder="1" applyAlignment="1">
      <alignment horizontal="right" vertical="center"/>
    </xf>
    <xf numFmtId="0" fontId="28" fillId="6" borderId="129" xfId="6" applyFont="1" applyFill="1" applyBorder="1" applyAlignment="1">
      <alignment horizontal="centerContinuous" vertical="center"/>
    </xf>
    <xf numFmtId="41" fontId="28" fillId="6" borderId="20" xfId="0" applyNumberFormat="1" applyFont="1" applyFill="1" applyBorder="1" applyAlignment="1">
      <alignment horizontal="right" vertical="center"/>
    </xf>
    <xf numFmtId="41" fontId="28" fillId="6" borderId="148" xfId="0" applyNumberFormat="1" applyFont="1" applyFill="1" applyBorder="1" applyAlignment="1">
      <alignment horizontal="right" vertical="center"/>
    </xf>
    <xf numFmtId="0" fontId="28" fillId="8" borderId="75" xfId="6" applyFont="1" applyFill="1" applyBorder="1" applyAlignment="1">
      <alignment horizontal="centerContinuous" vertical="center"/>
    </xf>
    <xf numFmtId="0" fontId="28" fillId="8" borderId="90" xfId="6" applyFont="1" applyFill="1" applyBorder="1" applyAlignment="1">
      <alignment horizontal="centerContinuous" vertical="center"/>
    </xf>
    <xf numFmtId="0" fontId="28" fillId="8" borderId="16" xfId="6" applyFont="1" applyFill="1" applyBorder="1" applyAlignment="1">
      <alignment horizontal="centerContinuous" vertical="center"/>
    </xf>
    <xf numFmtId="0" fontId="28" fillId="8" borderId="17" xfId="6" applyFont="1" applyFill="1" applyBorder="1" applyAlignment="1">
      <alignment horizontal="centerContinuous" vertical="center"/>
    </xf>
    <xf numFmtId="0" fontId="29" fillId="8" borderId="135" xfId="6" applyFont="1" applyFill="1" applyBorder="1" applyAlignment="1">
      <alignment horizontal="centerContinuous" vertical="center"/>
    </xf>
    <xf numFmtId="41" fontId="29" fillId="0" borderId="150" xfId="0" applyNumberFormat="1" applyFont="1" applyBorder="1" applyAlignment="1">
      <alignment horizontal="right" vertical="center"/>
    </xf>
    <xf numFmtId="41" fontId="29" fillId="0" borderId="88" xfId="0" applyNumberFormat="1" applyFont="1" applyBorder="1" applyAlignment="1">
      <alignment horizontal="right" vertical="center"/>
    </xf>
    <xf numFmtId="41" fontId="29" fillId="0" borderId="108" xfId="0" applyNumberFormat="1" applyFont="1" applyBorder="1" applyAlignment="1">
      <alignment horizontal="right" vertical="center"/>
    </xf>
    <xf numFmtId="41" fontId="29" fillId="0" borderId="109" xfId="0" applyNumberFormat="1" applyFont="1" applyBorder="1" applyAlignment="1">
      <alignment horizontal="right" vertical="center"/>
    </xf>
    <xf numFmtId="177" fontId="29" fillId="0" borderId="127" xfId="0" applyNumberFormat="1" applyFont="1" applyBorder="1" applyAlignment="1">
      <alignment horizontal="right" vertical="center"/>
    </xf>
    <xf numFmtId="177" fontId="29" fillId="0" borderId="126" xfId="0" applyNumberFormat="1" applyFont="1" applyBorder="1" applyAlignment="1">
      <alignment horizontal="right" vertical="center"/>
    </xf>
    <xf numFmtId="41" fontId="29" fillId="0" borderId="151" xfId="0" applyNumberFormat="1" applyFont="1" applyBorder="1" applyAlignment="1">
      <alignment horizontal="right" vertical="center"/>
    </xf>
    <xf numFmtId="0" fontId="28" fillId="8" borderId="135" xfId="6" applyFont="1" applyFill="1" applyBorder="1" applyAlignment="1">
      <alignment horizontal="centerContinuous" vertical="center"/>
    </xf>
    <xf numFmtId="41" fontId="28" fillId="8" borderId="151" xfId="0" applyNumberFormat="1" applyFont="1" applyFill="1" applyBorder="1" applyAlignment="1">
      <alignment horizontal="right" vertical="center"/>
    </xf>
    <xf numFmtId="41" fontId="28" fillId="8" borderId="22" xfId="0" applyNumberFormat="1" applyFont="1" applyFill="1" applyBorder="1" applyAlignment="1">
      <alignment horizontal="right" vertical="center"/>
    </xf>
    <xf numFmtId="41" fontId="28" fillId="8" borderId="89" xfId="0" applyNumberFormat="1" applyFont="1" applyFill="1" applyBorder="1" applyAlignment="1">
      <alignment horizontal="right" vertical="center"/>
    </xf>
    <xf numFmtId="41" fontId="28" fillId="8" borderId="132" xfId="0" applyNumberFormat="1" applyFont="1" applyFill="1" applyBorder="1" applyAlignment="1">
      <alignment horizontal="right" vertical="center"/>
    </xf>
    <xf numFmtId="41" fontId="28" fillId="8" borderId="29" xfId="0" applyNumberFormat="1" applyFont="1" applyFill="1" applyBorder="1" applyAlignment="1">
      <alignment horizontal="right" vertical="center"/>
    </xf>
    <xf numFmtId="41" fontId="28" fillId="6" borderId="22" xfId="0" applyNumberFormat="1" applyFont="1" applyFill="1" applyBorder="1" applyAlignment="1">
      <alignment horizontal="right" vertical="center"/>
    </xf>
    <xf numFmtId="0" fontId="29" fillId="6" borderId="125" xfId="6" applyFont="1" applyFill="1" applyBorder="1" applyAlignment="1">
      <alignment horizontal="centerContinuous" vertical="center"/>
    </xf>
    <xf numFmtId="41" fontId="29" fillId="6" borderId="116" xfId="0" applyNumberFormat="1" applyFont="1" applyFill="1" applyBorder="1" applyAlignment="1">
      <alignment horizontal="right" vertical="center"/>
    </xf>
    <xf numFmtId="41" fontId="29" fillId="6" borderId="141" xfId="0" applyNumberFormat="1" applyFont="1" applyFill="1" applyBorder="1" applyAlignment="1">
      <alignment horizontal="right" vertical="center"/>
    </xf>
    <xf numFmtId="41" fontId="29" fillId="6" borderId="127" xfId="0" applyNumberFormat="1" applyFont="1" applyFill="1" applyBorder="1" applyAlignment="1">
      <alignment horizontal="right" vertical="center"/>
    </xf>
    <xf numFmtId="41" fontId="29" fillId="6" borderId="126" xfId="0" applyNumberFormat="1" applyFont="1" applyFill="1" applyBorder="1" applyAlignment="1">
      <alignment horizontal="right" vertical="center"/>
    </xf>
    <xf numFmtId="0" fontId="29" fillId="6" borderId="128" xfId="6" applyFont="1" applyFill="1" applyBorder="1" applyAlignment="1">
      <alignment horizontal="centerContinuous" vertical="center"/>
    </xf>
    <xf numFmtId="41" fontId="29" fillId="6" borderId="151" xfId="0" applyNumberFormat="1" applyFont="1" applyFill="1" applyBorder="1" applyAlignment="1">
      <alignment horizontal="right" vertical="center"/>
    </xf>
    <xf numFmtId="41" fontId="29" fillId="6" borderId="143" xfId="0" applyNumberFormat="1" applyFont="1" applyFill="1" applyBorder="1" applyAlignment="1">
      <alignment horizontal="right" vertical="center"/>
    </xf>
    <xf numFmtId="41" fontId="29" fillId="6" borderId="6" xfId="0" applyNumberFormat="1" applyFont="1" applyFill="1" applyBorder="1" applyAlignment="1">
      <alignment horizontal="right" vertical="center"/>
    </xf>
    <xf numFmtId="41" fontId="29" fillId="6" borderId="7" xfId="0" applyNumberFormat="1" applyFont="1" applyFill="1" applyBorder="1" applyAlignment="1">
      <alignment horizontal="right" vertical="center"/>
    </xf>
    <xf numFmtId="0" fontId="44" fillId="0" borderId="0" xfId="4" applyFont="1" applyBorder="1" applyAlignment="1">
      <alignment horizontal="center" vertical="center"/>
    </xf>
    <xf numFmtId="41" fontId="40" fillId="5" borderId="0" xfId="2" applyFont="1" applyFill="1" applyBorder="1" applyAlignment="1">
      <alignment vertical="center"/>
    </xf>
    <xf numFmtId="176" fontId="41" fillId="5" borderId="0" xfId="1" applyNumberFormat="1" applyFont="1" applyFill="1" applyBorder="1" applyAlignment="1">
      <alignment vertical="center"/>
    </xf>
    <xf numFmtId="41" fontId="36" fillId="0" borderId="0" xfId="2" applyFont="1" applyBorder="1" applyAlignment="1">
      <alignment vertical="center"/>
    </xf>
    <xf numFmtId="41" fontId="7" fillId="0" borderId="0" xfId="2" applyFont="1">
      <alignment vertical="center"/>
    </xf>
    <xf numFmtId="190" fontId="41" fillId="0" borderId="0" xfId="2" applyNumberFormat="1" applyFont="1" applyBorder="1">
      <alignment vertical="center"/>
    </xf>
    <xf numFmtId="178" fontId="41" fillId="0" borderId="0" xfId="0" applyNumberFormat="1" applyFont="1" applyFill="1" applyBorder="1" applyAlignment="1">
      <alignment horizontal="center" vertical="center"/>
    </xf>
    <xf numFmtId="41" fontId="41" fillId="0" borderId="0" xfId="2" applyFont="1" applyFill="1" applyBorder="1" applyAlignment="1">
      <alignment horizontal="center" vertical="center"/>
    </xf>
    <xf numFmtId="0" fontId="41" fillId="5" borderId="152" xfId="0" applyFont="1" applyFill="1" applyBorder="1">
      <alignment vertical="center"/>
    </xf>
    <xf numFmtId="176" fontId="36" fillId="0" borderId="0" xfId="1" applyNumberFormat="1" applyFont="1">
      <alignment vertical="center"/>
    </xf>
    <xf numFmtId="0" fontId="38" fillId="0" borderId="89" xfId="0" applyFont="1" applyBorder="1" applyAlignment="1">
      <alignment horizontal="center" vertical="center"/>
    </xf>
    <xf numFmtId="0" fontId="44" fillId="0" borderId="62" xfId="4" applyFont="1" applyBorder="1" applyAlignment="1">
      <alignment horizontal="center" vertical="center"/>
    </xf>
    <xf numFmtId="0" fontId="46" fillId="8" borderId="166" xfId="0" applyFont="1" applyFill="1" applyBorder="1" applyAlignment="1">
      <alignment horizontal="center" vertical="center"/>
    </xf>
    <xf numFmtId="0" fontId="46" fillId="8" borderId="83" xfId="0" applyFont="1" applyFill="1" applyBorder="1" applyAlignment="1">
      <alignment horizontal="center" vertical="center"/>
    </xf>
    <xf numFmtId="0" fontId="46" fillId="4" borderId="166" xfId="0" applyFont="1" applyFill="1" applyBorder="1" applyAlignment="1">
      <alignment horizontal="center" vertical="center"/>
    </xf>
    <xf numFmtId="0" fontId="46" fillId="4" borderId="83" xfId="0" applyFont="1" applyFill="1" applyBorder="1" applyAlignment="1">
      <alignment horizontal="center" vertical="center"/>
    </xf>
    <xf numFmtId="185" fontId="38" fillId="0" borderId="126" xfId="1" applyNumberFormat="1" applyFont="1" applyBorder="1">
      <alignment vertical="center"/>
    </xf>
    <xf numFmtId="185" fontId="38" fillId="0" borderId="0" xfId="1" applyNumberFormat="1" applyFont="1" applyBorder="1">
      <alignment vertical="center"/>
    </xf>
    <xf numFmtId="182" fontId="38" fillId="0" borderId="107" xfId="0" applyNumberFormat="1" applyFont="1" applyBorder="1" applyAlignment="1">
      <alignment horizontal="center"/>
    </xf>
    <xf numFmtId="180" fontId="38" fillId="0" borderId="173" xfId="0" applyNumberFormat="1" applyFont="1" applyBorder="1" applyAlignment="1">
      <alignment horizontal="center" vertical="top"/>
    </xf>
    <xf numFmtId="177" fontId="38" fillId="0" borderId="173" xfId="2" applyNumberFormat="1" applyFont="1" applyBorder="1" applyAlignment="1">
      <alignment horizontal="center" vertical="center"/>
    </xf>
    <xf numFmtId="177" fontId="38" fillId="0" borderId="1" xfId="2" applyNumberFormat="1" applyFont="1" applyBorder="1" applyAlignment="1">
      <alignment horizontal="center" vertical="center"/>
    </xf>
    <xf numFmtId="183" fontId="38" fillId="10" borderId="166" xfId="0" applyNumberFormat="1" applyFont="1" applyFill="1" applyBorder="1" applyAlignment="1">
      <alignment horizontal="center" wrapText="1"/>
    </xf>
    <xf numFmtId="180" fontId="38" fillId="10" borderId="125" xfId="0" applyNumberFormat="1" applyFont="1" applyFill="1" applyBorder="1" applyAlignment="1">
      <alignment horizontal="center" vertical="top"/>
    </xf>
    <xf numFmtId="177" fontId="38" fillId="10" borderId="125" xfId="2" applyNumberFormat="1" applyFont="1" applyFill="1" applyBorder="1" applyAlignment="1">
      <alignment horizontal="center" vertical="center"/>
    </xf>
    <xf numFmtId="177" fontId="38" fillId="10" borderId="124" xfId="2" applyNumberFormat="1" applyFont="1" applyFill="1" applyBorder="1" applyAlignment="1">
      <alignment horizontal="center" vertical="center"/>
    </xf>
    <xf numFmtId="185" fontId="38" fillId="0" borderId="136" xfId="1" applyNumberFormat="1" applyFont="1" applyBorder="1">
      <alignment vertical="center"/>
    </xf>
    <xf numFmtId="183" fontId="38" fillId="0" borderId="166" xfId="0" applyNumberFormat="1" applyFont="1" applyBorder="1" applyAlignment="1">
      <alignment horizontal="center"/>
    </xf>
    <xf numFmtId="179" fontId="38" fillId="0" borderId="83" xfId="0" applyNumberFormat="1" applyFont="1" applyBorder="1" applyAlignment="1">
      <alignment horizontal="center" vertical="top"/>
    </xf>
    <xf numFmtId="177" fontId="38" fillId="9" borderId="125" xfId="2" applyNumberFormat="1" applyFont="1" applyFill="1" applyBorder="1" applyAlignment="1">
      <alignment horizontal="center" vertical="center"/>
    </xf>
    <xf numFmtId="177" fontId="38" fillId="9" borderId="124" xfId="2" applyNumberFormat="1" applyFont="1" applyFill="1" applyBorder="1" applyAlignment="1">
      <alignment horizontal="center" vertical="center"/>
    </xf>
    <xf numFmtId="179" fontId="38" fillId="0" borderId="21" xfId="0" applyNumberFormat="1" applyFont="1" applyFill="1" applyBorder="1" applyAlignment="1">
      <alignment horizontal="center" vertical="top" wrapText="1"/>
    </xf>
    <xf numFmtId="181" fontId="38" fillId="10" borderId="166" xfId="0" applyNumberFormat="1" applyFont="1" applyFill="1" applyBorder="1" applyAlignment="1">
      <alignment horizontal="center" wrapText="1"/>
    </xf>
    <xf numFmtId="179" fontId="38" fillId="10" borderId="83" xfId="0" applyNumberFormat="1" applyFont="1" applyFill="1" applyBorder="1" applyAlignment="1">
      <alignment horizontal="center" vertical="top" wrapText="1"/>
    </xf>
    <xf numFmtId="185" fontId="38" fillId="0" borderId="175" xfId="1" applyNumberFormat="1" applyFont="1" applyBorder="1">
      <alignment vertical="center"/>
    </xf>
    <xf numFmtId="185" fontId="38" fillId="0" borderId="118" xfId="1" applyNumberFormat="1" applyFont="1" applyBorder="1">
      <alignment vertical="center"/>
    </xf>
    <xf numFmtId="0" fontId="38" fillId="0" borderId="0" xfId="0" applyFont="1" applyAlignment="1">
      <alignment horizontal="left" vertical="center"/>
    </xf>
    <xf numFmtId="0" fontId="36" fillId="6" borderId="26" xfId="4" applyFont="1" applyFill="1" applyBorder="1" applyAlignment="1">
      <alignment horizontal="center" vertical="center" wrapText="1"/>
    </xf>
    <xf numFmtId="0" fontId="40" fillId="6" borderId="176" xfId="4" applyFont="1" applyFill="1" applyBorder="1" applyAlignment="1">
      <alignment horizontal="center" vertical="center"/>
    </xf>
    <xf numFmtId="41" fontId="40" fillId="6" borderId="177" xfId="2" applyFont="1" applyFill="1" applyBorder="1" applyAlignment="1">
      <alignment vertical="center"/>
    </xf>
    <xf numFmtId="176" fontId="41" fillId="6" borderId="23" xfId="1" applyNumberFormat="1" applyFont="1" applyFill="1" applyBorder="1" applyAlignment="1">
      <alignment vertical="center"/>
    </xf>
    <xf numFmtId="176" fontId="41" fillId="6" borderId="178" xfId="1" applyNumberFormat="1" applyFont="1" applyFill="1" applyBorder="1" applyAlignment="1">
      <alignment vertical="center"/>
    </xf>
    <xf numFmtId="41" fontId="36" fillId="6" borderId="179" xfId="2" applyFont="1" applyFill="1" applyBorder="1" applyAlignment="1">
      <alignment vertical="center"/>
    </xf>
    <xf numFmtId="41" fontId="36" fillId="6" borderId="176" xfId="2" applyFont="1" applyFill="1" applyBorder="1" applyAlignment="1">
      <alignment vertical="center"/>
    </xf>
    <xf numFmtId="41" fontId="36" fillId="6" borderId="180" xfId="2" applyFont="1" applyFill="1" applyBorder="1" applyAlignment="1">
      <alignment vertical="center"/>
    </xf>
    <xf numFmtId="41" fontId="41" fillId="5" borderId="21" xfId="2" applyFont="1" applyFill="1" applyBorder="1" applyAlignment="1">
      <alignment horizontal="center" vertical="center"/>
    </xf>
    <xf numFmtId="41" fontId="41" fillId="5" borderId="22" xfId="2" applyFont="1" applyFill="1" applyBorder="1" applyAlignment="1">
      <alignment horizontal="center" vertical="center"/>
    </xf>
    <xf numFmtId="41" fontId="41" fillId="11" borderId="9" xfId="2" applyFont="1" applyFill="1" applyBorder="1" applyAlignment="1">
      <alignment horizontal="center" vertical="center"/>
    </xf>
    <xf numFmtId="41" fontId="41" fillId="11" borderId="13" xfId="2" applyFont="1" applyFill="1" applyBorder="1" applyAlignment="1">
      <alignment horizontal="center" vertical="center"/>
    </xf>
    <xf numFmtId="178" fontId="39" fillId="5" borderId="18" xfId="0" applyNumberFormat="1" applyFont="1" applyFill="1" applyBorder="1" applyAlignment="1">
      <alignment horizontal="center" vertical="center"/>
    </xf>
    <xf numFmtId="178" fontId="39" fillId="5" borderId="12" xfId="0" applyNumberFormat="1" applyFont="1" applyFill="1" applyBorder="1" applyAlignment="1">
      <alignment horizontal="center" vertical="center"/>
    </xf>
    <xf numFmtId="178" fontId="39" fillId="11" borderId="12" xfId="0" applyNumberFormat="1" applyFont="1" applyFill="1" applyBorder="1" applyAlignment="1">
      <alignment horizontal="center" vertical="center"/>
    </xf>
    <xf numFmtId="41" fontId="38" fillId="8" borderId="76" xfId="2" applyFont="1" applyFill="1" applyBorder="1">
      <alignment vertical="center"/>
    </xf>
    <xf numFmtId="41" fontId="38" fillId="8" borderId="13" xfId="2" applyFont="1" applyFill="1" applyBorder="1">
      <alignment vertical="center"/>
    </xf>
    <xf numFmtId="41" fontId="38" fillId="8" borderId="81" xfId="2" applyFont="1" applyFill="1" applyBorder="1">
      <alignment vertical="center"/>
    </xf>
    <xf numFmtId="41" fontId="46" fillId="8" borderId="22" xfId="2" applyFont="1" applyFill="1" applyBorder="1">
      <alignment vertical="center"/>
    </xf>
    <xf numFmtId="41" fontId="38" fillId="4" borderId="76" xfId="2" applyFont="1" applyFill="1" applyBorder="1">
      <alignment vertical="center"/>
    </xf>
    <xf numFmtId="41" fontId="38" fillId="4" borderId="13" xfId="2" applyFont="1" applyFill="1" applyBorder="1">
      <alignment vertical="center"/>
    </xf>
    <xf numFmtId="41" fontId="38" fillId="4" borderId="81" xfId="2" applyFont="1" applyFill="1" applyBorder="1">
      <alignment vertical="center"/>
    </xf>
    <xf numFmtId="41" fontId="46" fillId="4" borderId="22" xfId="2" applyFont="1" applyFill="1" applyBorder="1">
      <alignment vertical="center"/>
    </xf>
    <xf numFmtId="41" fontId="38" fillId="4" borderId="22" xfId="2" applyFont="1" applyFill="1" applyBorder="1">
      <alignment vertical="center"/>
    </xf>
    <xf numFmtId="0" fontId="46" fillId="2" borderId="0" xfId="0" applyFont="1" applyFill="1" applyBorder="1" applyAlignment="1">
      <alignment horizontal="center" vertical="center"/>
    </xf>
    <xf numFmtId="41" fontId="38" fillId="2" borderId="0" xfId="2" applyFont="1" applyFill="1" applyBorder="1">
      <alignment vertical="center"/>
    </xf>
    <xf numFmtId="41" fontId="46" fillId="2" borderId="0" xfId="2" applyFont="1" applyFill="1" applyBorder="1">
      <alignment vertical="center"/>
    </xf>
    <xf numFmtId="0" fontId="41" fillId="0" borderId="76" xfId="0" applyFont="1" applyBorder="1" applyAlignment="1">
      <alignment horizontal="center" vertical="center"/>
    </xf>
    <xf numFmtId="177" fontId="41" fillId="0" borderId="15" xfId="2" applyNumberFormat="1" applyFont="1" applyBorder="1" applyAlignment="1">
      <alignment horizontal="center" vertical="center"/>
    </xf>
    <xf numFmtId="185" fontId="41" fillId="0" borderId="74" xfId="1" applyNumberFormat="1" applyFont="1" applyBorder="1">
      <alignment vertical="center"/>
    </xf>
    <xf numFmtId="177" fontId="41" fillId="9" borderId="75" xfId="2" applyNumberFormat="1" applyFont="1" applyFill="1" applyBorder="1" applyAlignment="1">
      <alignment horizontal="center" vertical="center"/>
    </xf>
    <xf numFmtId="185" fontId="41" fillId="0" borderId="92" xfId="1" applyNumberFormat="1" applyFont="1" applyBorder="1">
      <alignment vertical="center"/>
    </xf>
    <xf numFmtId="176" fontId="41" fillId="0" borderId="76" xfId="1" applyNumberFormat="1" applyFont="1" applyBorder="1">
      <alignment vertical="center"/>
    </xf>
    <xf numFmtId="0" fontId="41" fillId="0" borderId="157" xfId="0" applyFont="1" applyBorder="1" applyAlignment="1">
      <alignment horizontal="center" vertical="center"/>
    </xf>
    <xf numFmtId="177" fontId="41" fillId="0" borderId="174" xfId="2" applyNumberFormat="1" applyFont="1" applyBorder="1" applyAlignment="1">
      <alignment horizontal="center" vertical="center"/>
    </xf>
    <xf numFmtId="177" fontId="41" fillId="9" borderId="145" xfId="2" applyNumberFormat="1" applyFont="1" applyFill="1" applyBorder="1" applyAlignment="1">
      <alignment horizontal="center" vertical="center"/>
    </xf>
    <xf numFmtId="185" fontId="41" fillId="0" borderId="154" xfId="1" applyNumberFormat="1" applyFont="1" applyBorder="1">
      <alignment vertical="center"/>
    </xf>
    <xf numFmtId="185" fontId="41" fillId="0" borderId="144" xfId="1" applyNumberFormat="1" applyFont="1" applyBorder="1">
      <alignment vertical="center"/>
    </xf>
    <xf numFmtId="177" fontId="41" fillId="13" borderId="75" xfId="2" applyNumberFormat="1" applyFont="1" applyFill="1" applyBorder="1" applyAlignment="1">
      <alignment horizontal="center" vertical="center"/>
    </xf>
    <xf numFmtId="177" fontId="41" fillId="13" borderId="145" xfId="2" applyNumberFormat="1" applyFont="1" applyFill="1" applyBorder="1" applyAlignment="1">
      <alignment horizontal="center" vertical="center"/>
    </xf>
    <xf numFmtId="178" fontId="41" fillId="0" borderId="8" xfId="0" applyNumberFormat="1" applyFont="1" applyFill="1" applyBorder="1" applyAlignment="1">
      <alignment horizontal="center" vertical="center"/>
    </xf>
    <xf numFmtId="178" fontId="41" fillId="0" borderId="8" xfId="0" applyNumberFormat="1" applyFont="1" applyBorder="1" applyAlignment="1">
      <alignment horizontal="center" vertical="center"/>
    </xf>
    <xf numFmtId="178" fontId="41" fillId="0" borderId="14" xfId="0" applyNumberFormat="1" applyFont="1" applyBorder="1" applyAlignment="1">
      <alignment horizontal="center" vertical="center"/>
    </xf>
    <xf numFmtId="178" fontId="41" fillId="0" borderId="4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5" borderId="27" xfId="0" applyFont="1" applyFill="1" applyBorder="1" applyAlignment="1">
      <alignment horizontal="center" vertical="center"/>
    </xf>
    <xf numFmtId="0" fontId="41" fillId="5" borderId="26" xfId="0" applyFont="1" applyFill="1" applyBorder="1" applyAlignment="1">
      <alignment vertical="center"/>
    </xf>
    <xf numFmtId="177" fontId="38" fillId="10" borderId="75" xfId="2" applyNumberFormat="1" applyFont="1" applyFill="1" applyBorder="1" applyAlignment="1">
      <alignment horizontal="center" vertical="center"/>
    </xf>
    <xf numFmtId="177" fontId="38" fillId="0" borderId="15" xfId="2" applyNumberFormat="1" applyFont="1" applyBorder="1" applyAlignment="1">
      <alignment horizontal="center" vertical="center"/>
    </xf>
    <xf numFmtId="185" fontId="38" fillId="0" borderId="74" xfId="1" applyNumberFormat="1" applyFont="1" applyBorder="1">
      <alignment vertical="center"/>
    </xf>
    <xf numFmtId="177" fontId="38" fillId="9" borderId="75" xfId="2" applyNumberFormat="1" applyFont="1" applyFill="1" applyBorder="1" applyAlignment="1">
      <alignment horizontal="center" vertical="center"/>
    </xf>
    <xf numFmtId="185" fontId="38" fillId="0" borderId="92" xfId="1" applyNumberFormat="1" applyFont="1" applyBorder="1">
      <alignment vertical="center"/>
    </xf>
    <xf numFmtId="176" fontId="38" fillId="0" borderId="76" xfId="1" applyNumberFormat="1" applyFont="1" applyBorder="1">
      <alignment vertical="center"/>
    </xf>
    <xf numFmtId="41" fontId="36" fillId="0" borderId="0" xfId="0" applyNumberFormat="1" applyFont="1">
      <alignment vertical="center"/>
    </xf>
    <xf numFmtId="0" fontId="46" fillId="0" borderId="118" xfId="0" applyFont="1" applyBorder="1" applyAlignment="1">
      <alignment horizontal="center" vertical="center"/>
    </xf>
    <xf numFmtId="0" fontId="46" fillId="4" borderId="166" xfId="0" applyFont="1" applyFill="1" applyBorder="1" applyAlignment="1">
      <alignment horizontal="center" vertical="center"/>
    </xf>
    <xf numFmtId="0" fontId="46" fillId="4" borderId="83" xfId="0" applyFont="1" applyFill="1" applyBorder="1" applyAlignment="1">
      <alignment horizontal="center" vertical="center"/>
    </xf>
    <xf numFmtId="0" fontId="46" fillId="8" borderId="166" xfId="0" applyFont="1" applyFill="1" applyBorder="1" applyAlignment="1">
      <alignment horizontal="center" vertical="center"/>
    </xf>
    <xf numFmtId="0" fontId="46" fillId="8" borderId="83" xfId="0" applyFont="1" applyFill="1" applyBorder="1" applyAlignment="1">
      <alignment horizontal="center" vertical="center"/>
    </xf>
    <xf numFmtId="179" fontId="38" fillId="0" borderId="139" xfId="0" applyNumberFormat="1" applyFont="1" applyBorder="1" applyAlignment="1">
      <alignment horizontal="center" vertical="center"/>
    </xf>
    <xf numFmtId="41" fontId="38" fillId="13" borderId="5" xfId="2" applyFont="1" applyFill="1" applyBorder="1">
      <alignment vertical="center"/>
    </xf>
    <xf numFmtId="41" fontId="38" fillId="13" borderId="9" xfId="2" applyFont="1" applyFill="1" applyBorder="1">
      <alignment vertical="center"/>
    </xf>
    <xf numFmtId="41" fontId="38" fillId="13" borderId="183" xfId="2" applyFont="1" applyFill="1" applyBorder="1">
      <alignment vertical="center"/>
    </xf>
    <xf numFmtId="41" fontId="46" fillId="13" borderId="21" xfId="2" applyFont="1" applyFill="1" applyBorder="1">
      <alignment vertical="center"/>
    </xf>
    <xf numFmtId="0" fontId="46" fillId="16" borderId="22" xfId="0" applyFont="1" applyFill="1" applyBorder="1" applyAlignment="1">
      <alignment horizontal="center" vertical="center"/>
    </xf>
    <xf numFmtId="41" fontId="38" fillId="16" borderId="116" xfId="2" applyFont="1" applyFill="1" applyBorder="1">
      <alignment vertical="center"/>
    </xf>
    <xf numFmtId="41" fontId="46" fillId="16" borderId="22" xfId="2" applyFont="1" applyFill="1" applyBorder="1">
      <alignment vertical="center"/>
    </xf>
    <xf numFmtId="41" fontId="38" fillId="15" borderId="102" xfId="2" applyFont="1" applyFill="1" applyBorder="1">
      <alignment vertical="center"/>
    </xf>
    <xf numFmtId="41" fontId="38" fillId="15" borderId="158" xfId="2" applyFont="1" applyFill="1" applyBorder="1">
      <alignment vertical="center"/>
    </xf>
    <xf numFmtId="41" fontId="38" fillId="15" borderId="182" xfId="2" applyFont="1" applyFill="1" applyBorder="1">
      <alignment vertical="center"/>
    </xf>
    <xf numFmtId="41" fontId="46" fillId="15" borderId="30" xfId="2" applyFont="1" applyFill="1" applyBorder="1">
      <alignment vertical="center"/>
    </xf>
    <xf numFmtId="41" fontId="38" fillId="14" borderId="102" xfId="2" applyFont="1" applyFill="1" applyBorder="1">
      <alignment vertical="center"/>
    </xf>
    <xf numFmtId="41" fontId="38" fillId="14" borderId="158" xfId="2" applyFont="1" applyFill="1" applyBorder="1">
      <alignment vertical="center"/>
    </xf>
    <xf numFmtId="41" fontId="38" fillId="14" borderId="182" xfId="2" applyFont="1" applyFill="1" applyBorder="1">
      <alignment vertical="center"/>
    </xf>
    <xf numFmtId="41" fontId="46" fillId="14" borderId="30" xfId="2" applyFont="1" applyFill="1" applyBorder="1">
      <alignment vertical="center"/>
    </xf>
    <xf numFmtId="0" fontId="46" fillId="14" borderId="29" xfId="0" applyFont="1" applyFill="1" applyBorder="1" applyAlignment="1">
      <alignment horizontal="center" vertical="center"/>
    </xf>
    <xf numFmtId="0" fontId="46" fillId="15" borderId="29" xfId="0" applyFont="1" applyFill="1" applyBorder="1" applyAlignment="1">
      <alignment horizontal="center" vertical="center"/>
    </xf>
    <xf numFmtId="41" fontId="38" fillId="16" borderId="184" xfId="2" applyFont="1" applyFill="1" applyBorder="1">
      <alignment vertical="center"/>
    </xf>
    <xf numFmtId="41" fontId="38" fillId="16" borderId="144" xfId="2" applyFont="1" applyFill="1" applyBorder="1">
      <alignment vertical="center"/>
    </xf>
    <xf numFmtId="41" fontId="38" fillId="16" borderId="11" xfId="2" applyFont="1" applyFill="1" applyBorder="1">
      <alignment vertical="center"/>
    </xf>
    <xf numFmtId="41" fontId="38" fillId="16" borderId="91" xfId="2" applyFont="1" applyFill="1" applyBorder="1">
      <alignment vertical="center"/>
    </xf>
    <xf numFmtId="0" fontId="46" fillId="13" borderId="19" xfId="0" applyFont="1" applyFill="1" applyBorder="1" applyAlignment="1">
      <alignment horizontal="center" vertical="center"/>
    </xf>
    <xf numFmtId="0" fontId="46" fillId="14" borderId="185" xfId="0" applyFont="1" applyFill="1" applyBorder="1" applyAlignment="1">
      <alignment horizontal="center" vertical="center"/>
    </xf>
    <xf numFmtId="41" fontId="38" fillId="14" borderId="186" xfId="2" applyFont="1" applyFill="1" applyBorder="1">
      <alignment vertical="center"/>
    </xf>
    <xf numFmtId="41" fontId="38" fillId="14" borderId="187" xfId="2" applyFont="1" applyFill="1" applyBorder="1">
      <alignment vertical="center"/>
    </xf>
    <xf numFmtId="41" fontId="38" fillId="14" borderId="188" xfId="2" applyFont="1" applyFill="1" applyBorder="1">
      <alignment vertical="center"/>
    </xf>
    <xf numFmtId="41" fontId="46" fillId="14" borderId="189" xfId="2" applyFont="1" applyFill="1" applyBorder="1">
      <alignment vertical="center"/>
    </xf>
    <xf numFmtId="0" fontId="46" fillId="15" borderId="185" xfId="0" applyFont="1" applyFill="1" applyBorder="1" applyAlignment="1">
      <alignment horizontal="center" vertical="center"/>
    </xf>
    <xf numFmtId="41" fontId="38" fillId="15" borderId="186" xfId="2" applyFont="1" applyFill="1" applyBorder="1">
      <alignment vertical="center"/>
    </xf>
    <xf numFmtId="41" fontId="38" fillId="15" borderId="187" xfId="2" applyFont="1" applyFill="1" applyBorder="1">
      <alignment vertical="center"/>
    </xf>
    <xf numFmtId="41" fontId="38" fillId="15" borderId="188" xfId="2" applyFont="1" applyFill="1" applyBorder="1">
      <alignment vertical="center"/>
    </xf>
    <xf numFmtId="41" fontId="46" fillId="15" borderId="189" xfId="2" applyFont="1" applyFill="1" applyBorder="1">
      <alignment vertical="center"/>
    </xf>
    <xf numFmtId="0" fontId="46" fillId="16" borderId="185" xfId="0" applyFont="1" applyFill="1" applyBorder="1" applyAlignment="1">
      <alignment horizontal="center" vertical="center"/>
    </xf>
    <xf numFmtId="41" fontId="38" fillId="16" borderId="186" xfId="2" applyFont="1" applyFill="1" applyBorder="1">
      <alignment vertical="center"/>
    </xf>
    <xf numFmtId="41" fontId="38" fillId="16" borderId="187" xfId="2" applyFont="1" applyFill="1" applyBorder="1">
      <alignment vertical="center"/>
    </xf>
    <xf numFmtId="41" fontId="38" fillId="16" borderId="188" xfId="2" applyFont="1" applyFill="1" applyBorder="1">
      <alignment vertical="center"/>
    </xf>
    <xf numFmtId="41" fontId="46" fillId="16" borderId="189" xfId="2" applyFont="1" applyFill="1" applyBorder="1">
      <alignment vertical="center"/>
    </xf>
    <xf numFmtId="0" fontId="36" fillId="0" borderId="59" xfId="4" applyFont="1" applyFill="1" applyBorder="1" applyAlignment="1">
      <alignment horizontal="center" vertical="center"/>
    </xf>
    <xf numFmtId="0" fontId="36" fillId="15" borderId="195" xfId="4" applyFont="1" applyFill="1" applyBorder="1" applyAlignment="1">
      <alignment horizontal="center" vertical="center"/>
    </xf>
    <xf numFmtId="0" fontId="36" fillId="15" borderId="41" xfId="4" applyFont="1" applyFill="1" applyBorder="1" applyAlignment="1">
      <alignment horizontal="center" vertical="center"/>
    </xf>
    <xf numFmtId="0" fontId="36" fillId="0" borderId="28" xfId="4" applyFont="1" applyFill="1" applyBorder="1" applyAlignment="1">
      <alignment horizontal="center" vertical="center"/>
    </xf>
    <xf numFmtId="0" fontId="36" fillId="17" borderId="196" xfId="4" applyFont="1" applyFill="1" applyBorder="1" applyAlignment="1">
      <alignment horizontal="center" vertical="center"/>
    </xf>
    <xf numFmtId="0" fontId="36" fillId="17" borderId="69" xfId="4" applyFont="1" applyFill="1" applyBorder="1" applyAlignment="1">
      <alignment horizontal="center" vertical="center"/>
    </xf>
    <xf numFmtId="41" fontId="40" fillId="11" borderId="192" xfId="2" applyFont="1" applyFill="1" applyBorder="1" applyAlignment="1">
      <alignment vertical="center"/>
    </xf>
    <xf numFmtId="176" fontId="41" fillId="11" borderId="103" xfId="1" applyNumberFormat="1" applyFont="1" applyFill="1" applyBorder="1" applyAlignment="1">
      <alignment vertical="center"/>
    </xf>
    <xf numFmtId="176" fontId="41" fillId="11" borderId="193" xfId="1" applyNumberFormat="1" applyFont="1" applyFill="1" applyBorder="1" applyAlignment="1">
      <alignment vertical="center"/>
    </xf>
    <xf numFmtId="41" fontId="40" fillId="11" borderId="73" xfId="2" applyFont="1" applyFill="1" applyBorder="1" applyAlignment="1">
      <alignment vertical="center"/>
    </xf>
    <xf numFmtId="176" fontId="41" fillId="11" borderId="190" xfId="1" applyNumberFormat="1" applyFont="1" applyFill="1" applyBorder="1" applyAlignment="1">
      <alignment vertical="center"/>
    </xf>
    <xf numFmtId="176" fontId="41" fillId="11" borderId="191" xfId="1" applyNumberFormat="1" applyFont="1" applyFill="1" applyBorder="1" applyAlignment="1">
      <alignment vertical="center"/>
    </xf>
    <xf numFmtId="41" fontId="36" fillId="0" borderId="58" xfId="2" applyFont="1" applyFill="1" applyBorder="1" applyAlignment="1">
      <alignment vertical="center"/>
    </xf>
    <xf numFmtId="41" fontId="36" fillId="0" borderId="194" xfId="2" applyFont="1" applyFill="1" applyBorder="1" applyAlignment="1">
      <alignment vertical="center"/>
    </xf>
    <xf numFmtId="41" fontId="36" fillId="0" borderId="38" xfId="2" applyFont="1" applyFill="1" applyBorder="1" applyAlignment="1">
      <alignment vertical="center"/>
    </xf>
    <xf numFmtId="41" fontId="36" fillId="0" borderId="102" xfId="2" applyFont="1" applyFill="1" applyBorder="1" applyAlignment="1">
      <alignment vertical="center"/>
    </xf>
    <xf numFmtId="41" fontId="36" fillId="0" borderId="40" xfId="2" applyFont="1" applyFill="1" applyBorder="1" applyAlignment="1">
      <alignment vertical="center"/>
    </xf>
    <xf numFmtId="185" fontId="41" fillId="0" borderId="153" xfId="1" applyNumberFormat="1" applyFont="1" applyBorder="1" applyAlignment="1">
      <alignment vertical="center" shrinkToFit="1"/>
    </xf>
    <xf numFmtId="0" fontId="46" fillId="0" borderId="70" xfId="0" applyFont="1" applyBorder="1" applyAlignment="1">
      <alignment horizontal="center" vertical="center"/>
    </xf>
    <xf numFmtId="0" fontId="46" fillId="0" borderId="118" xfId="0" applyFont="1" applyBorder="1" applyAlignment="1">
      <alignment horizontal="center" vertical="center"/>
    </xf>
    <xf numFmtId="187" fontId="52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left" vertical="center"/>
    </xf>
    <xf numFmtId="49" fontId="41" fillId="0" borderId="134" xfId="0" applyNumberFormat="1" applyFont="1" applyBorder="1" applyAlignment="1">
      <alignment horizontal="center" vertical="center" wrapText="1"/>
    </xf>
    <xf numFmtId="49" fontId="41" fillId="0" borderId="82" xfId="0" applyNumberFormat="1" applyFont="1" applyBorder="1" applyAlignment="1">
      <alignment horizontal="center" vertical="center" wrapText="1"/>
    </xf>
    <xf numFmtId="49" fontId="38" fillId="0" borderId="172" xfId="0" applyNumberFormat="1" applyFont="1" applyBorder="1" applyAlignment="1">
      <alignment horizontal="center" vertical="center" wrapText="1"/>
    </xf>
    <xf numFmtId="49" fontId="38" fillId="0" borderId="30" xfId="0" applyNumberFormat="1" applyFont="1" applyBorder="1" applyAlignment="1">
      <alignment horizontal="center" vertical="center" wrapText="1"/>
    </xf>
    <xf numFmtId="49" fontId="41" fillId="0" borderId="109" xfId="0" applyNumberFormat="1" applyFont="1" applyBorder="1" applyAlignment="1">
      <alignment horizontal="center" vertical="center" wrapText="1"/>
    </xf>
    <xf numFmtId="49" fontId="41" fillId="0" borderId="29" xfId="0" applyNumberFormat="1" applyFont="1" applyBorder="1" applyAlignment="1">
      <alignment horizontal="center" vertical="center" wrapText="1"/>
    </xf>
    <xf numFmtId="0" fontId="46" fillId="0" borderId="135" xfId="0" applyFont="1" applyBorder="1" applyAlignment="1">
      <alignment horizontal="center" vertical="center"/>
    </xf>
    <xf numFmtId="0" fontId="46" fillId="0" borderId="116" xfId="0" applyFont="1" applyBorder="1" applyAlignment="1">
      <alignment horizontal="center" vertical="center"/>
    </xf>
    <xf numFmtId="0" fontId="46" fillId="0" borderId="181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49" fontId="38" fillId="0" borderId="133" xfId="0" applyNumberFormat="1" applyFont="1" applyBorder="1" applyAlignment="1">
      <alignment horizontal="center" vertical="center"/>
    </xf>
    <xf numFmtId="49" fontId="38" fillId="0" borderId="150" xfId="0" applyNumberFormat="1" applyFont="1" applyBorder="1" applyAlignment="1">
      <alignment horizontal="center" vertical="center"/>
    </xf>
    <xf numFmtId="49" fontId="38" fillId="0" borderId="131" xfId="0" applyNumberFormat="1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/>
    </xf>
    <xf numFmtId="0" fontId="46" fillId="0" borderId="166" xfId="0" applyFont="1" applyBorder="1" applyAlignment="1">
      <alignment horizontal="center" vertical="center"/>
    </xf>
    <xf numFmtId="0" fontId="46" fillId="0" borderId="125" xfId="0" applyFont="1" applyBorder="1" applyAlignment="1">
      <alignment horizontal="center" vertical="center"/>
    </xf>
    <xf numFmtId="0" fontId="46" fillId="0" borderId="131" xfId="0" applyFont="1" applyBorder="1" applyAlignment="1">
      <alignment horizontal="center" vertical="center"/>
    </xf>
    <xf numFmtId="0" fontId="42" fillId="0" borderId="77" xfId="4" applyFont="1" applyBorder="1" applyAlignment="1">
      <alignment horizontal="center" vertical="center"/>
    </xf>
    <xf numFmtId="0" fontId="42" fillId="0" borderId="158" xfId="4" applyFon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51" fillId="7" borderId="153" xfId="4" applyFont="1" applyFill="1" applyBorder="1" applyAlignment="1">
      <alignment horizontal="center" vertical="center"/>
    </xf>
    <xf numFmtId="0" fontId="51" fillId="7" borderId="154" xfId="4" applyFont="1" applyFill="1" applyBorder="1" applyAlignment="1">
      <alignment horizontal="center" vertical="center"/>
    </xf>
    <xf numFmtId="0" fontId="51" fillId="7" borderId="139" xfId="4" applyFont="1" applyFill="1" applyBorder="1" applyAlignment="1">
      <alignment horizontal="center" vertical="center"/>
    </xf>
    <xf numFmtId="0" fontId="51" fillId="7" borderId="102" xfId="4" applyFont="1" applyFill="1" applyBorder="1" applyAlignment="1">
      <alignment horizontal="center" vertical="center"/>
    </xf>
    <xf numFmtId="0" fontId="36" fillId="2" borderId="155" xfId="4" applyFont="1" applyFill="1" applyBorder="1" applyAlignment="1">
      <alignment horizontal="center" vertical="center"/>
    </xf>
    <xf numFmtId="0" fontId="36" fillId="2" borderId="156" xfId="4" applyFont="1" applyFill="1" applyBorder="1" applyAlignment="1">
      <alignment horizontal="center" vertical="center"/>
    </xf>
    <xf numFmtId="0" fontId="36" fillId="2" borderId="53" xfId="4" applyFont="1" applyFill="1" applyBorder="1" applyAlignment="1">
      <alignment horizontal="center" vertical="center"/>
    </xf>
    <xf numFmtId="0" fontId="36" fillId="4" borderId="197" xfId="4" applyFont="1" applyFill="1" applyBorder="1" applyAlignment="1">
      <alignment horizontal="center" vertical="center"/>
    </xf>
    <xf numFmtId="0" fontId="36" fillId="4" borderId="36" xfId="4" applyFont="1" applyFill="1" applyBorder="1" applyAlignment="1">
      <alignment horizontal="center" vertical="center"/>
    </xf>
    <xf numFmtId="0" fontId="36" fillId="4" borderId="37" xfId="4" applyFont="1" applyFill="1" applyBorder="1" applyAlignment="1">
      <alignment horizontal="center" vertical="center"/>
    </xf>
    <xf numFmtId="0" fontId="36" fillId="6" borderId="25" xfId="4" applyFont="1" applyFill="1" applyBorder="1" applyAlignment="1">
      <alignment horizontal="center" vertical="center" wrapText="1"/>
    </xf>
    <xf numFmtId="0" fontId="36" fillId="6" borderId="24" xfId="4" applyFont="1" applyFill="1" applyBorder="1" applyAlignment="1">
      <alignment horizontal="center" vertical="center" wrapText="1"/>
    </xf>
    <xf numFmtId="0" fontId="36" fillId="6" borderId="44" xfId="4" applyFont="1" applyFill="1" applyBorder="1" applyAlignment="1">
      <alignment horizontal="center" vertical="center" wrapText="1"/>
    </xf>
    <xf numFmtId="0" fontId="36" fillId="3" borderId="63" xfId="4" applyFont="1" applyFill="1" applyBorder="1" applyAlignment="1">
      <alignment horizontal="center" vertical="center"/>
    </xf>
    <xf numFmtId="0" fontId="36" fillId="3" borderId="36" xfId="4" applyFont="1" applyFill="1" applyBorder="1" applyAlignment="1">
      <alignment horizontal="center" vertical="center"/>
    </xf>
    <xf numFmtId="0" fontId="36" fillId="3" borderId="48" xfId="4" applyFont="1" applyFill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0" fontId="42" fillId="0" borderId="153" xfId="4" applyFont="1" applyFill="1" applyBorder="1" applyAlignment="1">
      <alignment horizontal="center" vertical="center"/>
    </xf>
    <xf numFmtId="0" fontId="42" fillId="0" borderId="157" xfId="4" applyFont="1" applyFill="1" applyBorder="1" applyAlignment="1">
      <alignment horizontal="center" vertical="center"/>
    </xf>
    <xf numFmtId="178" fontId="39" fillId="11" borderId="133" xfId="0" applyNumberFormat="1" applyFont="1" applyFill="1" applyBorder="1" applyAlignment="1">
      <alignment horizontal="center" vertical="center" wrapText="1"/>
    </xf>
    <xf numFmtId="178" fontId="39" fillId="11" borderId="135" xfId="0" applyNumberFormat="1" applyFont="1" applyFill="1" applyBorder="1" applyAlignment="1">
      <alignment horizontal="center" vertical="center" wrapText="1"/>
    </xf>
    <xf numFmtId="178" fontId="39" fillId="11" borderId="138" xfId="0" applyNumberFormat="1" applyFont="1" applyFill="1" applyBorder="1" applyAlignment="1">
      <alignment horizontal="center" vertical="center" wrapText="1"/>
    </xf>
    <xf numFmtId="178" fontId="39" fillId="11" borderId="135" xfId="0" applyNumberFormat="1" applyFont="1" applyFill="1" applyBorder="1" applyAlignment="1">
      <alignment horizontal="center" vertical="center" textRotation="255"/>
    </xf>
    <xf numFmtId="178" fontId="39" fillId="11" borderId="131" xfId="0" applyNumberFormat="1" applyFont="1" applyFill="1" applyBorder="1" applyAlignment="1">
      <alignment horizontal="center" vertical="center" textRotation="255"/>
    </xf>
    <xf numFmtId="178" fontId="39" fillId="11" borderId="131" xfId="0" applyNumberFormat="1" applyFont="1" applyFill="1" applyBorder="1" applyAlignment="1">
      <alignment horizontal="center" vertical="center" wrapText="1"/>
    </xf>
    <xf numFmtId="178" fontId="39" fillId="6" borderId="70" xfId="0" applyNumberFormat="1" applyFont="1" applyFill="1" applyBorder="1" applyAlignment="1">
      <alignment horizontal="center" vertical="center"/>
    </xf>
    <xf numFmtId="178" fontId="39" fillId="6" borderId="71" xfId="0" applyNumberFormat="1" applyFont="1" applyFill="1" applyBorder="1" applyAlignment="1">
      <alignment horizontal="center" vertical="center"/>
    </xf>
    <xf numFmtId="0" fontId="28" fillId="8" borderId="124" xfId="6" applyFont="1" applyFill="1" applyBorder="1" applyAlignment="1">
      <alignment horizontal="center" vertical="center"/>
    </xf>
    <xf numFmtId="178" fontId="11" fillId="6" borderId="89" xfId="0" applyNumberFormat="1" applyFont="1" applyFill="1" applyBorder="1" applyAlignment="1">
      <alignment horizontal="center" vertical="center"/>
    </xf>
    <xf numFmtId="178" fontId="11" fillId="6" borderId="159" xfId="0" applyNumberFormat="1" applyFont="1" applyFill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0" fontId="11" fillId="0" borderId="170" xfId="0" applyFont="1" applyBorder="1" applyAlignment="1">
      <alignment horizontal="center" vertical="center"/>
    </xf>
    <xf numFmtId="0" fontId="11" fillId="0" borderId="162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178" fontId="11" fillId="0" borderId="149" xfId="0" applyNumberFormat="1" applyFont="1" applyBorder="1" applyAlignment="1">
      <alignment horizontal="center" vertical="center"/>
    </xf>
    <xf numFmtId="178" fontId="11" fillId="0" borderId="163" xfId="0" applyNumberFormat="1" applyFont="1" applyBorder="1" applyAlignment="1">
      <alignment horizontal="center" vertical="center"/>
    </xf>
    <xf numFmtId="178" fontId="11" fillId="0" borderId="141" xfId="0" applyNumberFormat="1" applyFont="1" applyBorder="1" applyAlignment="1">
      <alignment horizontal="center" vertical="center" wrapText="1"/>
    </xf>
    <xf numFmtId="178" fontId="11" fillId="0" borderId="138" xfId="0" applyNumberFormat="1" applyFont="1" applyBorder="1" applyAlignment="1">
      <alignment horizontal="center" vertical="center" wrapText="1"/>
    </xf>
    <xf numFmtId="178" fontId="11" fillId="0" borderId="135" xfId="0" applyNumberFormat="1" applyFont="1" applyBorder="1" applyAlignment="1">
      <alignment horizontal="center" vertical="center"/>
    </xf>
    <xf numFmtId="178" fontId="11" fillId="0" borderId="138" xfId="0" applyNumberFormat="1" applyFont="1" applyBorder="1" applyAlignment="1">
      <alignment horizontal="center" vertical="center"/>
    </xf>
    <xf numFmtId="178" fontId="11" fillId="0" borderId="133" xfId="0" applyNumberFormat="1" applyFont="1" applyBorder="1" applyAlignment="1">
      <alignment horizontal="center" vertical="center" wrapText="1"/>
    </xf>
    <xf numFmtId="178" fontId="11" fillId="0" borderId="135" xfId="0" applyNumberFormat="1" applyFont="1" applyBorder="1" applyAlignment="1">
      <alignment horizontal="center" vertical="center" wrapText="1"/>
    </xf>
    <xf numFmtId="178" fontId="11" fillId="0" borderId="131" xfId="0" applyNumberFormat="1" applyFont="1" applyBorder="1" applyAlignment="1">
      <alignment horizontal="center" vertical="center" wrapText="1"/>
    </xf>
    <xf numFmtId="178" fontId="11" fillId="0" borderId="88" xfId="0" applyNumberFormat="1" applyFont="1" applyBorder="1" applyAlignment="1">
      <alignment horizontal="center" vertical="center"/>
    </xf>
    <xf numFmtId="178" fontId="11" fillId="0" borderId="164" xfId="0" applyNumberFormat="1" applyFont="1" applyBorder="1" applyAlignment="1">
      <alignment horizontal="center" vertical="center"/>
    </xf>
    <xf numFmtId="0" fontId="28" fillId="8" borderId="133" xfId="6" applyFont="1" applyFill="1" applyBorder="1" applyAlignment="1">
      <alignment horizontal="center" vertical="center"/>
    </xf>
    <xf numFmtId="0" fontId="28" fillId="8" borderId="150" xfId="6" applyFont="1" applyFill="1" applyBorder="1" applyAlignment="1">
      <alignment horizontal="center" vertical="center"/>
    </xf>
    <xf numFmtId="0" fontId="50" fillId="12" borderId="160" xfId="0" applyFont="1" applyFill="1" applyBorder="1" applyAlignment="1">
      <alignment horizontal="center" vertical="center"/>
    </xf>
    <xf numFmtId="0" fontId="50" fillId="12" borderId="169" xfId="0" applyFont="1" applyFill="1" applyBorder="1" applyAlignment="1">
      <alignment horizontal="center" vertical="center"/>
    </xf>
    <xf numFmtId="0" fontId="30" fillId="8" borderId="70" xfId="6" applyFont="1" applyFill="1" applyBorder="1" applyAlignment="1">
      <alignment horizontal="center" vertical="center"/>
    </xf>
    <xf numFmtId="0" fontId="30" fillId="8" borderId="118" xfId="6" applyFont="1" applyFill="1" applyBorder="1" applyAlignment="1">
      <alignment horizontal="center" vertical="center"/>
    </xf>
    <xf numFmtId="0" fontId="30" fillId="8" borderId="131" xfId="6" applyFont="1" applyFill="1" applyBorder="1" applyAlignment="1">
      <alignment horizontal="center" vertical="center"/>
    </xf>
    <xf numFmtId="0" fontId="30" fillId="8" borderId="22" xfId="6" applyFont="1" applyFill="1" applyBorder="1" applyAlignment="1">
      <alignment horizontal="center" vertical="center"/>
    </xf>
    <xf numFmtId="0" fontId="28" fillId="8" borderId="70" xfId="6" applyFont="1" applyFill="1" applyBorder="1" applyAlignment="1">
      <alignment horizontal="center" vertical="center"/>
    </xf>
    <xf numFmtId="0" fontId="28" fillId="8" borderId="118" xfId="6" applyFont="1" applyFill="1" applyBorder="1" applyAlignment="1">
      <alignment horizontal="center" vertical="center"/>
    </xf>
    <xf numFmtId="178" fontId="11" fillId="6" borderId="70" xfId="0" applyNumberFormat="1" applyFont="1" applyFill="1" applyBorder="1" applyAlignment="1">
      <alignment horizontal="center" vertical="center"/>
    </xf>
    <xf numFmtId="178" fontId="11" fillId="6" borderId="71" xfId="0" applyNumberFormat="1" applyFont="1" applyFill="1" applyBorder="1" applyAlignment="1">
      <alignment horizontal="center" vertical="center"/>
    </xf>
    <xf numFmtId="178" fontId="41" fillId="6" borderId="70" xfId="0" applyNumberFormat="1" applyFont="1" applyFill="1" applyBorder="1" applyAlignment="1">
      <alignment horizontal="center" vertical="center"/>
    </xf>
    <xf numFmtId="178" fontId="41" fillId="6" borderId="71" xfId="0" applyNumberFormat="1" applyFont="1" applyFill="1" applyBorder="1" applyAlignment="1">
      <alignment horizontal="center" vertical="center"/>
    </xf>
    <xf numFmtId="178" fontId="11" fillId="0" borderId="70" xfId="0" applyNumberFormat="1" applyFont="1" applyBorder="1" applyAlignment="1">
      <alignment horizontal="center" vertical="center"/>
    </xf>
    <xf numFmtId="178" fontId="11" fillId="0" borderId="71" xfId="0" applyNumberFormat="1" applyFont="1" applyBorder="1" applyAlignment="1">
      <alignment horizontal="center" vertical="center"/>
    </xf>
    <xf numFmtId="178" fontId="11" fillId="0" borderId="165" xfId="0" applyNumberFormat="1" applyFont="1" applyBorder="1" applyAlignment="1">
      <alignment horizontal="center" vertical="center"/>
    </xf>
    <xf numFmtId="178" fontId="11" fillId="0" borderId="131" xfId="0" applyNumberFormat="1" applyFont="1" applyBorder="1" applyAlignment="1">
      <alignment horizontal="center" vertical="center"/>
    </xf>
    <xf numFmtId="178" fontId="45" fillId="6" borderId="70" xfId="0" applyNumberFormat="1" applyFont="1" applyFill="1" applyBorder="1" applyAlignment="1">
      <alignment horizontal="center" vertical="center"/>
    </xf>
    <xf numFmtId="178" fontId="45" fillId="6" borderId="71" xfId="0" applyNumberFormat="1" applyFont="1" applyFill="1" applyBorder="1" applyAlignment="1">
      <alignment horizontal="center" vertical="center"/>
    </xf>
    <xf numFmtId="178" fontId="41" fillId="0" borderId="133" xfId="0" applyNumberFormat="1" applyFont="1" applyBorder="1" applyAlignment="1">
      <alignment horizontal="center" vertical="center" wrapText="1"/>
    </xf>
    <xf numFmtId="178" fontId="41" fillId="0" borderId="135" xfId="0" applyNumberFormat="1" applyFont="1" applyBorder="1" applyAlignment="1">
      <alignment horizontal="center" vertical="center" wrapText="1"/>
    </xf>
    <xf numFmtId="178" fontId="41" fillId="0" borderId="131" xfId="0" applyNumberFormat="1" applyFont="1" applyBorder="1" applyAlignment="1">
      <alignment horizontal="center" vertical="center" wrapText="1"/>
    </xf>
    <xf numFmtId="178" fontId="41" fillId="0" borderId="138" xfId="0" applyNumberFormat="1" applyFont="1" applyBorder="1" applyAlignment="1">
      <alignment horizontal="center" vertical="center" wrapText="1"/>
    </xf>
    <xf numFmtId="178" fontId="45" fillId="0" borderId="133" xfId="0" applyNumberFormat="1" applyFont="1" applyBorder="1" applyAlignment="1">
      <alignment horizontal="center" vertical="center" wrapText="1"/>
    </xf>
    <xf numFmtId="178" fontId="45" fillId="0" borderId="135" xfId="0" applyNumberFormat="1" applyFont="1" applyBorder="1" applyAlignment="1">
      <alignment horizontal="center" vertical="center" wrapText="1"/>
    </xf>
    <xf numFmtId="178" fontId="45" fillId="0" borderId="131" xfId="0" applyNumberFormat="1" applyFont="1" applyBorder="1" applyAlignment="1">
      <alignment horizontal="center" vertical="center" wrapText="1"/>
    </xf>
    <xf numFmtId="178" fontId="45" fillId="0" borderId="135" xfId="0" applyNumberFormat="1" applyFont="1" applyBorder="1" applyAlignment="1">
      <alignment horizontal="center" vertical="center"/>
    </xf>
    <xf numFmtId="178" fontId="45" fillId="0" borderId="131" xfId="0" applyNumberFormat="1" applyFont="1" applyBorder="1" applyAlignment="1">
      <alignment horizontal="center" vertical="center"/>
    </xf>
    <xf numFmtId="178" fontId="45" fillId="0" borderId="138" xfId="0" applyNumberFormat="1" applyFont="1" applyBorder="1" applyAlignment="1">
      <alignment horizontal="center" vertical="center" wrapText="1"/>
    </xf>
    <xf numFmtId="178" fontId="41" fillId="0" borderId="135" xfId="0" applyNumberFormat="1" applyFont="1" applyBorder="1" applyAlignment="1">
      <alignment horizontal="center" vertical="center"/>
    </xf>
    <xf numFmtId="178" fontId="41" fillId="0" borderId="131" xfId="0" applyNumberFormat="1" applyFont="1" applyBorder="1" applyAlignment="1">
      <alignment horizontal="center" vertical="center"/>
    </xf>
    <xf numFmtId="178" fontId="39" fillId="11" borderId="165" xfId="0" applyNumberFormat="1" applyFont="1" applyFill="1" applyBorder="1" applyAlignment="1">
      <alignment horizontal="center" vertical="center" textRotation="255"/>
    </xf>
    <xf numFmtId="0" fontId="40" fillId="14" borderId="181" xfId="0" applyFont="1" applyFill="1" applyBorder="1" applyAlignment="1">
      <alignment horizontal="center" vertical="center"/>
    </xf>
    <xf numFmtId="0" fontId="40" fillId="14" borderId="92" xfId="0" applyFont="1" applyFill="1" applyBorder="1" applyAlignment="1">
      <alignment horizontal="center" vertical="center"/>
    </xf>
    <xf numFmtId="0" fontId="40" fillId="14" borderId="150" xfId="0" applyFont="1" applyFill="1" applyBorder="1" applyAlignment="1">
      <alignment horizontal="center" vertical="center"/>
    </xf>
    <xf numFmtId="0" fontId="40" fillId="15" borderId="181" xfId="0" applyFont="1" applyFill="1" applyBorder="1" applyAlignment="1">
      <alignment horizontal="center" vertical="center"/>
    </xf>
    <xf numFmtId="0" fontId="40" fillId="15" borderId="92" xfId="0" applyFont="1" applyFill="1" applyBorder="1" applyAlignment="1">
      <alignment horizontal="center" vertical="center"/>
    </xf>
    <xf numFmtId="0" fontId="40" fillId="15" borderId="150" xfId="0" applyFont="1" applyFill="1" applyBorder="1" applyAlignment="1">
      <alignment horizontal="center" vertical="center"/>
    </xf>
    <xf numFmtId="0" fontId="40" fillId="16" borderId="133" xfId="0" applyFont="1" applyFill="1" applyBorder="1" applyAlignment="1">
      <alignment horizontal="center" vertical="center"/>
    </xf>
    <xf numFmtId="0" fontId="40" fillId="16" borderId="172" xfId="0" applyFont="1" applyFill="1" applyBorder="1" applyAlignment="1">
      <alignment horizontal="center" vertical="center"/>
    </xf>
    <xf numFmtId="0" fontId="40" fillId="16" borderId="150" xfId="0" applyFont="1" applyFill="1" applyBorder="1" applyAlignment="1">
      <alignment horizontal="center" vertical="center"/>
    </xf>
    <xf numFmtId="0" fontId="46" fillId="4" borderId="166" xfId="0" applyFont="1" applyFill="1" applyBorder="1" applyAlignment="1">
      <alignment horizontal="center" vertical="center"/>
    </xf>
    <xf numFmtId="0" fontId="46" fillId="4" borderId="83" xfId="0" applyFont="1" applyFill="1" applyBorder="1" applyAlignment="1">
      <alignment horizontal="center" vertical="center"/>
    </xf>
    <xf numFmtId="0" fontId="46" fillId="0" borderId="141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141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46" fillId="2" borderId="166" xfId="0" applyFont="1" applyFill="1" applyBorder="1" applyAlignment="1">
      <alignment horizontal="center" vertical="center"/>
    </xf>
    <xf numFmtId="0" fontId="46" fillId="2" borderId="83" xfId="0" applyFont="1" applyFill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150" xfId="0" applyFont="1" applyBorder="1" applyAlignment="1">
      <alignment horizontal="center" vertical="center"/>
    </xf>
    <xf numFmtId="0" fontId="38" fillId="0" borderId="13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6" fillId="8" borderId="166" xfId="0" applyFont="1" applyFill="1" applyBorder="1" applyAlignment="1">
      <alignment horizontal="center" vertical="center"/>
    </xf>
    <xf numFmtId="0" fontId="46" fillId="8" borderId="83" xfId="0" applyFont="1" applyFill="1" applyBorder="1" applyAlignment="1">
      <alignment horizontal="center" vertical="center"/>
    </xf>
    <xf numFmtId="0" fontId="40" fillId="0" borderId="133" xfId="0" applyFont="1" applyBorder="1" applyAlignment="1">
      <alignment horizontal="center" vertical="center"/>
    </xf>
    <xf numFmtId="0" fontId="40" fillId="0" borderId="150" xfId="0" applyFont="1" applyBorder="1" applyAlignment="1">
      <alignment horizontal="center" vertical="center"/>
    </xf>
    <xf numFmtId="0" fontId="40" fillId="0" borderId="13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6" fillId="0" borderId="133" xfId="0" applyFont="1" applyBorder="1" applyAlignment="1">
      <alignment horizontal="center" vertical="center"/>
    </xf>
    <xf numFmtId="0" fontId="46" fillId="0" borderId="15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</cellXfs>
  <cellStyles count="7">
    <cellStyle name="백분율" xfId="1" builtinId="5"/>
    <cellStyle name="쉼표 [0]" xfId="2" builtinId="6"/>
    <cellStyle name="쉼표 [0]_'02판매현황" xfId="3" xr:uid="{00000000-0005-0000-0000-000002000000}"/>
    <cellStyle name="표준" xfId="0" builtinId="0"/>
    <cellStyle name="표준_2007년 2월 현대실적 - 기아" xfId="4" xr:uid="{00000000-0005-0000-0000-000004000000}"/>
    <cellStyle name="표준_99선적실적종합_0313" xfId="5" xr:uid="{00000000-0005-0000-0000-000005000000}"/>
    <cellStyle name="표준_매출액집계-10월" xfId="6" xr:uid="{00000000-0005-0000-0000-000006000000}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FFCC99"/>
      <color rgb="FFFFCCCC"/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23445</xdr:colOff>
          <xdr:row>12</xdr:row>
          <xdr:rowOff>99646</xdr:rowOff>
        </xdr:from>
        <xdr:to>
          <xdr:col>10</xdr:col>
          <xdr:colOff>459342</xdr:colOff>
          <xdr:row>50</xdr:row>
          <xdr:rowOff>111368</xdr:rowOff>
        </xdr:to>
        <xdr:pic>
          <xdr:nvPicPr>
            <xdr:cNvPr id="3" name="그림 2">
              <a:extLst>
                <a:ext uri="{FF2B5EF4-FFF2-40B4-BE49-F238E27FC236}">
                  <a16:creationId xmlns:a16="http://schemas.microsoft.com/office/drawing/2014/main" id="{AAA2E0A4-CB86-428B-9266-5CF3B3345B2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⊙ 월별'!$A$1:$J$31" spid="_x0000_s118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9291" y="2713892"/>
              <a:ext cx="5412343" cy="70162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0"/>
  <sheetViews>
    <sheetView showGridLines="0" zoomScale="130" zoomScaleNormal="130" zoomScaleSheetLayoutView="115" workbookViewId="0">
      <selection activeCell="O12" sqref="O12"/>
    </sheetView>
  </sheetViews>
  <sheetFormatPr defaultRowHeight="14.4"/>
  <cols>
    <col min="1" max="1" width="2.296875" customWidth="1"/>
    <col min="2" max="2" width="5.296875" style="1" customWidth="1"/>
    <col min="3" max="3" width="6.69921875" style="2" customWidth="1"/>
    <col min="4" max="5" width="7.796875" style="2" customWidth="1"/>
    <col min="6" max="6" width="6.3984375" style="2" customWidth="1"/>
    <col min="7" max="7" width="7.796875" style="2" customWidth="1"/>
    <col min="8" max="8" width="6.3984375" style="2" customWidth="1"/>
    <col min="9" max="10" width="8.59765625" style="2" bestFit="1" customWidth="1"/>
    <col min="11" max="11" width="6.3984375" style="2" customWidth="1"/>
    <col min="12" max="12" width="3.3984375" customWidth="1"/>
  </cols>
  <sheetData>
    <row r="2" spans="2:20" ht="17.399999999999999">
      <c r="B2" s="654" t="s">
        <v>372</v>
      </c>
      <c r="C2" s="655"/>
      <c r="D2" s="655"/>
      <c r="E2" s="655"/>
      <c r="F2" s="655"/>
      <c r="G2" s="655"/>
      <c r="H2" s="655"/>
      <c r="I2" s="655"/>
      <c r="J2" s="655"/>
      <c r="K2" s="655"/>
    </row>
    <row r="3" spans="2:20" ht="7.8" customHeight="1" thickBot="1">
      <c r="M3" s="290" t="s">
        <v>103</v>
      </c>
      <c r="N3" s="290"/>
      <c r="O3" s="290"/>
      <c r="P3" s="290"/>
      <c r="Q3" s="290"/>
      <c r="R3" s="290"/>
      <c r="S3" s="290"/>
      <c r="T3" s="290"/>
    </row>
    <row r="4" spans="2:20" s="3" customFormat="1" ht="15" customHeight="1">
      <c r="B4" s="666" t="s">
        <v>1</v>
      </c>
      <c r="C4" s="667"/>
      <c r="D4" s="531">
        <v>2023</v>
      </c>
      <c r="E4" s="517">
        <f>D4-1</f>
        <v>2022</v>
      </c>
      <c r="F4" s="656" t="s">
        <v>2</v>
      </c>
      <c r="G4" s="526">
        <f>IF(D5=1,D4-1,D4)</f>
        <v>2023</v>
      </c>
      <c r="H4" s="658" t="s">
        <v>3</v>
      </c>
      <c r="I4" s="521">
        <f>D4</f>
        <v>2023</v>
      </c>
      <c r="J4" s="517">
        <f>I4-1</f>
        <v>2022</v>
      </c>
      <c r="K4" s="660" t="s">
        <v>4</v>
      </c>
      <c r="M4" s="291"/>
      <c r="N4" s="291"/>
      <c r="O4" s="291"/>
      <c r="P4" s="291"/>
      <c r="Q4" s="291"/>
      <c r="R4" s="291"/>
      <c r="S4" s="291"/>
      <c r="T4" s="291"/>
    </row>
    <row r="5" spans="2:20" ht="15" customHeight="1" thickBot="1">
      <c r="B5" s="668"/>
      <c r="C5" s="669"/>
      <c r="D5" s="532">
        <v>2</v>
      </c>
      <c r="E5" s="530">
        <f>D5</f>
        <v>2</v>
      </c>
      <c r="F5" s="657"/>
      <c r="G5" s="527">
        <f>IF(D5=1,12,D5-1)</f>
        <v>1</v>
      </c>
      <c r="H5" s="659"/>
      <c r="I5" s="522">
        <f>D5</f>
        <v>2</v>
      </c>
      <c r="J5" s="518">
        <f>D5</f>
        <v>2</v>
      </c>
      <c r="K5" s="661"/>
      <c r="M5" s="293"/>
      <c r="N5" s="293"/>
      <c r="O5" s="290"/>
      <c r="P5" s="290"/>
      <c r="Q5" s="290"/>
      <c r="R5" s="290"/>
      <c r="S5" s="290"/>
      <c r="T5" s="290"/>
    </row>
    <row r="6" spans="2:20" ht="27.75" customHeight="1">
      <c r="B6" s="664" t="s">
        <v>5</v>
      </c>
      <c r="C6" s="665"/>
      <c r="D6" s="584">
        <f>VLOOKUP(D5,'⊙ 월별'!B3:I16,2,0)</f>
        <v>50016</v>
      </c>
      <c r="E6" s="585">
        <f>VLOOKUP(E5,'⊙ 월별'!B19:J31,2,0)</f>
        <v>39413</v>
      </c>
      <c r="F6" s="586">
        <f t="shared" ref="F6:F11" si="0">(D6-E6)/E6</f>
        <v>0.26902291122218558</v>
      </c>
      <c r="G6" s="587">
        <f>VLOOKUP(G5,'⊙ 월별'!B3:J15,2,0)</f>
        <v>38678</v>
      </c>
      <c r="H6" s="588">
        <f t="shared" ref="H6:H11" si="1">(D6-G6)/G6</f>
        <v>0.29313821810848545</v>
      </c>
      <c r="I6" s="584">
        <f>'⊙ 월별'!C15</f>
        <v>88694</v>
      </c>
      <c r="J6" s="585">
        <f>국내1!K28-국내1!K27</f>
        <v>76328</v>
      </c>
      <c r="K6" s="589">
        <f t="shared" ref="K6:K11" si="2">(I6-J6)/J6</f>
        <v>0.16201131956817943</v>
      </c>
      <c r="M6" s="293"/>
      <c r="N6" s="293"/>
      <c r="O6" s="290"/>
      <c r="P6" s="290"/>
      <c r="Q6" s="290"/>
      <c r="R6" s="290"/>
      <c r="S6" s="290"/>
      <c r="T6" s="290"/>
    </row>
    <row r="7" spans="2:20" ht="27.75" customHeight="1" thickBot="1">
      <c r="B7" s="662" t="s">
        <v>105</v>
      </c>
      <c r="C7" s="663"/>
      <c r="D7" s="523">
        <f>VLOOKUP(D5,'⊙ 월별'!B3:I16,5,0)</f>
        <v>203708</v>
      </c>
      <c r="E7" s="519">
        <f>VLOOKUP(E5,'⊙ 월별'!B19:J31,5,0)</f>
        <v>181910</v>
      </c>
      <c r="F7" s="525">
        <f t="shared" si="0"/>
        <v>0.11982848661425979</v>
      </c>
      <c r="G7" s="528">
        <f>VLOOKUP(G5,'⊙ 월별'!B3:J15,5,0)</f>
        <v>196124</v>
      </c>
      <c r="H7" s="516">
        <f t="shared" si="1"/>
        <v>3.8669413228365729E-2</v>
      </c>
      <c r="I7" s="523">
        <f>'⊙ 월별'!F15</f>
        <v>399832</v>
      </c>
      <c r="J7" s="519">
        <f>국내1!K29</f>
        <v>358015</v>
      </c>
      <c r="K7" s="515">
        <f t="shared" si="2"/>
        <v>0.11680236861584012</v>
      </c>
      <c r="M7" s="293"/>
      <c r="N7" s="293"/>
      <c r="O7" s="290"/>
      <c r="P7" s="290"/>
      <c r="Q7" s="290"/>
      <c r="R7" s="290"/>
      <c r="S7" s="290"/>
      <c r="T7" s="290"/>
    </row>
    <row r="8" spans="2:20" ht="13.8" customHeight="1">
      <c r="B8" s="670" t="s">
        <v>39</v>
      </c>
      <c r="C8" s="563" t="s">
        <v>5</v>
      </c>
      <c r="D8" s="574">
        <f>VLOOKUP(D5,'⊙ 월별'!B3:K16,3,0)</f>
        <v>89</v>
      </c>
      <c r="E8" s="564">
        <f>VLOOKUP(E5,'⊙ 월별'!B19:K31,3,0)</f>
        <v>147</v>
      </c>
      <c r="F8" s="565">
        <f t="shared" si="0"/>
        <v>-0.39455782312925169</v>
      </c>
      <c r="G8" s="566">
        <f>VLOOKUP(G5,'⊙ 월별'!B3:K15,3,0)</f>
        <v>75</v>
      </c>
      <c r="H8" s="567">
        <f t="shared" si="1"/>
        <v>0.18666666666666668</v>
      </c>
      <c r="I8" s="574">
        <f>'⊙ 월별'!D15</f>
        <v>164</v>
      </c>
      <c r="J8" s="564">
        <f>국내1!K27</f>
        <v>270</v>
      </c>
      <c r="K8" s="568">
        <f t="shared" si="2"/>
        <v>-0.3925925925925926</v>
      </c>
      <c r="M8" s="293"/>
      <c r="N8" s="293"/>
      <c r="O8" s="290"/>
      <c r="P8" s="290"/>
      <c r="Q8" s="290"/>
      <c r="R8" s="290"/>
      <c r="S8" s="290"/>
      <c r="T8" s="290"/>
    </row>
    <row r="9" spans="2:20" ht="13.8" customHeight="1" thickBot="1">
      <c r="B9" s="671"/>
      <c r="C9" s="569" t="s">
        <v>105</v>
      </c>
      <c r="D9" s="575">
        <f>VLOOKUP(D5,'⊙ 월별'!B3:K16,6,0)</f>
        <v>214</v>
      </c>
      <c r="E9" s="570">
        <f>VLOOKUP(E5,'⊙ 월별'!B19:K31,6,0)</f>
        <v>2</v>
      </c>
      <c r="F9" s="651">
        <f t="shared" si="0"/>
        <v>106</v>
      </c>
      <c r="G9" s="571">
        <f>VLOOKUP(G5,'⊙ 월별'!B3:K15,6,0)</f>
        <v>228</v>
      </c>
      <c r="H9" s="572">
        <f t="shared" si="1"/>
        <v>-6.1403508771929821E-2</v>
      </c>
      <c r="I9" s="575">
        <f>'⊙ 월별'!G15</f>
        <v>442</v>
      </c>
      <c r="J9" s="570">
        <f>국내1!K30</f>
        <v>98</v>
      </c>
      <c r="K9" s="573">
        <f t="shared" si="2"/>
        <v>3.510204081632653</v>
      </c>
      <c r="M9" s="293"/>
      <c r="N9" s="293"/>
      <c r="O9" s="290"/>
      <c r="P9" s="290"/>
      <c r="Q9" s="290"/>
      <c r="R9" s="290"/>
      <c r="S9" s="290"/>
      <c r="T9" s="290"/>
    </row>
    <row r="10" spans="2:20" ht="17.399999999999999" customHeight="1" thickBot="1">
      <c r="B10" s="672"/>
      <c r="C10" s="591" t="s">
        <v>6</v>
      </c>
      <c r="D10" s="524">
        <f>D8+D9</f>
        <v>303</v>
      </c>
      <c r="E10" s="520">
        <f>E8+E9</f>
        <v>149</v>
      </c>
      <c r="F10" s="533">
        <f t="shared" si="0"/>
        <v>1.0335570469798658</v>
      </c>
      <c r="G10" s="529">
        <f>G8+G9</f>
        <v>303</v>
      </c>
      <c r="H10" s="533">
        <f t="shared" si="1"/>
        <v>0</v>
      </c>
      <c r="I10" s="524">
        <f>I8+I9</f>
        <v>606</v>
      </c>
      <c r="J10" s="520">
        <f>J9+J8</f>
        <v>368</v>
      </c>
      <c r="K10" s="534">
        <f t="shared" si="2"/>
        <v>0.64673913043478259</v>
      </c>
      <c r="M10" s="293"/>
      <c r="N10" s="293"/>
      <c r="O10" s="290"/>
      <c r="P10" s="290"/>
      <c r="Q10" s="290"/>
      <c r="R10" s="290"/>
      <c r="S10" s="290"/>
      <c r="T10" s="290"/>
    </row>
    <row r="11" spans="2:20" ht="27.75" customHeight="1" thickBot="1">
      <c r="B11" s="652" t="s">
        <v>6</v>
      </c>
      <c r="C11" s="653"/>
      <c r="D11" s="524">
        <f>D6+D7+D10</f>
        <v>254027</v>
      </c>
      <c r="E11" s="520">
        <f>E6+E7+E10</f>
        <v>221472</v>
      </c>
      <c r="F11" s="533">
        <f t="shared" si="0"/>
        <v>0.1469937509030487</v>
      </c>
      <c r="G11" s="529">
        <f>G6+G7+G10</f>
        <v>235105</v>
      </c>
      <c r="H11" s="533">
        <f t="shared" si="1"/>
        <v>8.0483188362646479E-2</v>
      </c>
      <c r="I11" s="524">
        <f>I6+I7+I10</f>
        <v>489132</v>
      </c>
      <c r="J11" s="520">
        <f>J7+J6+J10</f>
        <v>434711</v>
      </c>
      <c r="K11" s="534">
        <f t="shared" si="2"/>
        <v>0.12518891861489587</v>
      </c>
      <c r="M11" s="293"/>
      <c r="N11" s="293"/>
      <c r="O11" s="290"/>
      <c r="P11" s="292"/>
      <c r="Q11" s="290"/>
      <c r="R11" s="290"/>
      <c r="S11" s="290"/>
      <c r="T11" s="290"/>
    </row>
    <row r="12" spans="2:20" ht="7.2" customHeight="1">
      <c r="B12" s="535"/>
      <c r="C12" s="77"/>
      <c r="D12" s="77"/>
      <c r="E12" s="77"/>
      <c r="F12" s="77"/>
      <c r="G12" s="77"/>
      <c r="H12" s="77"/>
      <c r="I12" s="77"/>
      <c r="J12" s="77"/>
      <c r="K12" s="77"/>
      <c r="M12" s="293"/>
      <c r="N12" s="293"/>
      <c r="O12" s="290"/>
      <c r="P12" s="290"/>
      <c r="Q12" s="290"/>
      <c r="R12" s="290"/>
      <c r="S12" s="290"/>
      <c r="T12" s="290"/>
    </row>
    <row r="13" spans="2:20">
      <c r="M13" s="290"/>
      <c r="N13" s="290"/>
      <c r="O13" s="290"/>
      <c r="P13" s="290"/>
      <c r="Q13" s="290"/>
      <c r="R13" s="290"/>
      <c r="S13" s="290"/>
      <c r="T13" s="290"/>
    </row>
    <row r="14" spans="2:20" ht="18" customHeight="1">
      <c r="M14" s="290"/>
      <c r="N14" s="290"/>
      <c r="O14" s="290"/>
      <c r="P14" s="290"/>
      <c r="Q14" s="290"/>
      <c r="R14" s="290"/>
      <c r="S14" s="290"/>
      <c r="T14" s="290"/>
    </row>
    <row r="15" spans="2:20" ht="17.399999999999999" customHeight="1">
      <c r="M15" s="290"/>
      <c r="N15" s="290"/>
      <c r="O15" s="290"/>
      <c r="P15" s="290"/>
      <c r="Q15" s="290"/>
      <c r="R15" s="290"/>
      <c r="S15" s="290"/>
      <c r="T15" s="290"/>
    </row>
    <row r="16" spans="2:20" ht="15" customHeight="1">
      <c r="M16" s="290"/>
      <c r="N16" s="290"/>
      <c r="O16" s="290"/>
      <c r="P16" s="290"/>
      <c r="Q16" s="290"/>
      <c r="R16" s="290"/>
      <c r="S16" s="290"/>
      <c r="T16" s="290"/>
    </row>
    <row r="17" spans="13:20">
      <c r="M17" s="290"/>
      <c r="N17" s="290"/>
      <c r="O17" s="290"/>
      <c r="P17" s="290"/>
      <c r="Q17" s="290"/>
      <c r="R17" s="290"/>
      <c r="S17" s="290"/>
      <c r="T17" s="290"/>
    </row>
    <row r="18" spans="13:20">
      <c r="M18" s="290"/>
      <c r="N18" s="290"/>
      <c r="O18" s="290"/>
      <c r="P18" s="290"/>
      <c r="Q18" s="290"/>
      <c r="R18" s="290"/>
      <c r="S18" s="290"/>
      <c r="T18" s="290"/>
    </row>
    <row r="19" spans="13:20">
      <c r="M19" s="290"/>
      <c r="N19" s="290"/>
      <c r="O19" s="290"/>
      <c r="P19" s="290"/>
      <c r="Q19" s="290"/>
      <c r="R19" s="290"/>
      <c r="S19" s="290"/>
      <c r="T19" s="290"/>
    </row>
    <row r="20" spans="13:20">
      <c r="M20" s="290"/>
      <c r="N20" s="290"/>
      <c r="O20" s="290"/>
      <c r="P20" s="290"/>
      <c r="Q20" s="290"/>
      <c r="R20" s="290"/>
      <c r="S20" s="290"/>
      <c r="T20" s="290"/>
    </row>
  </sheetData>
  <mergeCells count="9">
    <mergeCell ref="B11:C11"/>
    <mergeCell ref="B2:K2"/>
    <mergeCell ref="F4:F5"/>
    <mergeCell ref="H4:H5"/>
    <mergeCell ref="K4:K5"/>
    <mergeCell ref="B7:C7"/>
    <mergeCell ref="B6:C6"/>
    <mergeCell ref="B4:C5"/>
    <mergeCell ref="B8:B10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H11 F11 F6 F7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8"/>
  <sheetViews>
    <sheetView showGridLines="0" tabSelected="1" zoomScaleNormal="100" workbookViewId="0">
      <pane ySplit="5" topLeftCell="A33" activePane="bottomLeft" state="frozen"/>
      <selection pane="bottomLeft" activeCell="P39" sqref="P39"/>
    </sheetView>
  </sheetViews>
  <sheetFormatPr defaultColWidth="8.8984375" defaultRowHeight="15.6"/>
  <cols>
    <col min="1" max="1" width="3.69921875" style="5" customWidth="1"/>
    <col min="2" max="2" width="1.796875" style="5" customWidth="1"/>
    <col min="3" max="3" width="15.19921875" style="8" customWidth="1"/>
    <col min="4" max="4" width="9.796875" style="5" customWidth="1"/>
    <col min="5" max="5" width="7.3984375" style="9" customWidth="1"/>
    <col min="6" max="6" width="7.3984375" style="10" customWidth="1"/>
    <col min="7" max="8" width="9.796875" style="5" customWidth="1"/>
    <col min="9" max="9" width="12.59765625" style="5" customWidth="1"/>
    <col min="10" max="10" width="7.3984375" style="10" customWidth="1"/>
    <col min="11" max="11" width="10.296875" style="5" customWidth="1"/>
    <col min="12" max="12" width="6" style="5" customWidth="1"/>
    <col min="13" max="13" width="8.8984375" style="5"/>
    <col min="14" max="15" width="10.19921875" style="5" bestFit="1" customWidth="1"/>
    <col min="16" max="16384" width="8.8984375" style="5"/>
  </cols>
  <sheetData>
    <row r="1" spans="1:18" ht="24.75" customHeight="1">
      <c r="A1" s="692" t="s">
        <v>373</v>
      </c>
      <c r="B1" s="692"/>
      <c r="C1" s="692"/>
      <c r="D1" s="692"/>
      <c r="E1" s="692"/>
      <c r="F1" s="692"/>
      <c r="G1" s="692"/>
      <c r="H1" s="692"/>
      <c r="I1" s="692"/>
      <c r="J1" s="692"/>
      <c r="K1" s="4"/>
    </row>
    <row r="2" spans="1:18" ht="10.5" customHeight="1">
      <c r="A2" s="4"/>
      <c r="B2" s="4"/>
      <c r="C2" s="4"/>
      <c r="D2" s="4"/>
      <c r="E2" s="6"/>
      <c r="F2" s="6"/>
      <c r="G2" s="4"/>
      <c r="H2" s="4"/>
      <c r="I2" s="4"/>
      <c r="J2" s="7"/>
      <c r="K2" s="4"/>
      <c r="M2" s="675"/>
      <c r="N2" s="675"/>
      <c r="O2" s="675"/>
      <c r="P2" s="675"/>
      <c r="Q2" s="675"/>
      <c r="R2" s="675"/>
    </row>
    <row r="3" spans="1:18" ht="5.25" customHeight="1" thickBot="1">
      <c r="F3" s="10" t="s">
        <v>0</v>
      </c>
    </row>
    <row r="4" spans="1:18" s="11" customFormat="1" ht="28.95" customHeight="1" thickTop="1">
      <c r="A4" s="676" t="s">
        <v>7</v>
      </c>
      <c r="B4" s="677"/>
      <c r="C4" s="677"/>
      <c r="D4" s="195">
        <v>2023</v>
      </c>
      <c r="E4" s="78"/>
      <c r="F4" s="79"/>
      <c r="G4" s="80">
        <f>D4-1</f>
        <v>2022</v>
      </c>
      <c r="H4" s="81">
        <f>IF(D5=1,D4-1,D4)</f>
        <v>2023</v>
      </c>
      <c r="I4" s="197">
        <f>D4</f>
        <v>2023</v>
      </c>
      <c r="J4" s="82"/>
      <c r="K4" s="83">
        <f>G4</f>
        <v>2022</v>
      </c>
    </row>
    <row r="5" spans="1:18" s="12" customFormat="1" ht="35.25" customHeight="1">
      <c r="A5" s="678"/>
      <c r="B5" s="679"/>
      <c r="C5" s="679"/>
      <c r="D5" s="196">
        <v>2</v>
      </c>
      <c r="E5" s="84" t="s">
        <v>8</v>
      </c>
      <c r="F5" s="85" t="s">
        <v>3</v>
      </c>
      <c r="G5" s="86">
        <f>D5</f>
        <v>2</v>
      </c>
      <c r="H5" s="87">
        <f>IF(D5=1,12,D5-1)</f>
        <v>1</v>
      </c>
      <c r="I5" s="198" t="s">
        <v>9</v>
      </c>
      <c r="J5" s="85" t="s">
        <v>10</v>
      </c>
      <c r="K5" s="88" t="s">
        <v>9</v>
      </c>
    </row>
    <row r="6" spans="1:18" ht="21" customHeight="1">
      <c r="A6" s="89"/>
      <c r="B6" s="686"/>
      <c r="C6" s="116" t="s">
        <v>66</v>
      </c>
      <c r="D6" s="90">
        <f>VLOOKUP(C6,국내2!$C$5:$P$54,$D$5+1,0)</f>
        <v>2049</v>
      </c>
      <c r="E6" s="91">
        <f t="shared" ref="E6:E32" si="0">(D6-G6)/G6</f>
        <v>0.20529411764705882</v>
      </c>
      <c r="F6" s="92">
        <f t="shared" ref="F6:F32" si="1">(D6-H6)/H6</f>
        <v>0.13017098731384447</v>
      </c>
      <c r="G6" s="93">
        <f>VLOOKUP(C6,국내2!$C$59:$P$107,$D$5+1,0)</f>
        <v>1700</v>
      </c>
      <c r="H6" s="94">
        <f>VLOOKUP(C6,국내2!$C$5:$P53,$H$5+1,0)</f>
        <v>1813</v>
      </c>
      <c r="I6" s="90">
        <f>국내2!P5</f>
        <v>3862</v>
      </c>
      <c r="J6" s="92">
        <f t="shared" ref="J6:J13" si="2">(I6-K6)/K6</f>
        <v>0.19418676561533704</v>
      </c>
      <c r="K6" s="217">
        <f>SUM(국내2!D59:'국내2'!E59)</f>
        <v>3234</v>
      </c>
      <c r="L6" s="13"/>
      <c r="M6" s="73"/>
      <c r="N6" s="73"/>
    </row>
    <row r="7" spans="1:18" ht="21" customHeight="1">
      <c r="A7" s="89"/>
      <c r="B7" s="686"/>
      <c r="C7" s="116" t="s">
        <v>45</v>
      </c>
      <c r="D7" s="90">
        <f>VLOOKUP(C7,국내2!$C$5:$P$54,$D$5+1,0)</f>
        <v>4268</v>
      </c>
      <c r="E7" s="91">
        <f t="shared" si="0"/>
        <v>0.32628962088253571</v>
      </c>
      <c r="F7" s="92">
        <f t="shared" si="1"/>
        <v>0.19051603905160391</v>
      </c>
      <c r="G7" s="93">
        <f>VLOOKUP(C7,국내2!$C$59:$P$107,$D$5+1,0)</f>
        <v>3218</v>
      </c>
      <c r="H7" s="94">
        <f>VLOOKUP(C7,국내2!$C$5:$P$53,$H$5+1,0)</f>
        <v>3585</v>
      </c>
      <c r="I7" s="90">
        <f>국내2!P6</f>
        <v>7853</v>
      </c>
      <c r="J7" s="92">
        <f t="shared" si="2"/>
        <v>0.15214201877934272</v>
      </c>
      <c r="K7" s="218">
        <f>SUM(국내2!D60:'국내2'!E60)</f>
        <v>6816</v>
      </c>
      <c r="L7" s="13"/>
      <c r="M7" s="73"/>
      <c r="N7" s="73"/>
    </row>
    <row r="8" spans="1:18" ht="21.9" customHeight="1">
      <c r="A8" s="89"/>
      <c r="B8" s="687"/>
      <c r="C8" s="116" t="s">
        <v>48</v>
      </c>
      <c r="D8" s="90">
        <f>VLOOKUP(C8,국내2!$C$5:$P$54,$D$5+1,0)</f>
        <v>1024</v>
      </c>
      <c r="E8" s="91">
        <f t="shared" si="0"/>
        <v>-0.34901462174189446</v>
      </c>
      <c r="F8" s="92">
        <f t="shared" si="1"/>
        <v>7.7894736842105267E-2</v>
      </c>
      <c r="G8" s="93">
        <f>VLOOKUP(C8,국내2!$C$59:$P$107,$D$5+1,0)</f>
        <v>1573</v>
      </c>
      <c r="H8" s="94">
        <f>VLOOKUP(C8,국내2!$C$5:$P$53,$H$5+1,0)</f>
        <v>950</v>
      </c>
      <c r="I8" s="90">
        <f>국내2!P7</f>
        <v>1974</v>
      </c>
      <c r="J8" s="92">
        <f t="shared" si="2"/>
        <v>-0.41337295690936104</v>
      </c>
      <c r="K8" s="218">
        <f>SUM(국내2!D61:'국내2'!E61)</f>
        <v>3365</v>
      </c>
      <c r="L8" s="13"/>
      <c r="M8" s="73"/>
      <c r="O8" s="281"/>
      <c r="P8" s="13"/>
    </row>
    <row r="9" spans="1:18" ht="21.9" customHeight="1">
      <c r="A9" s="89"/>
      <c r="B9" s="687"/>
      <c r="C9" s="116" t="s">
        <v>69</v>
      </c>
      <c r="D9" s="90">
        <f>VLOOKUP(C9,국내2!$C$5:$P$54,$D$5+1,0)</f>
        <v>2653</v>
      </c>
      <c r="E9" s="91">
        <f t="shared" si="0"/>
        <v>3.5519125683060107E-2</v>
      </c>
      <c r="F9" s="92">
        <f t="shared" si="1"/>
        <v>3.6328125000000003E-2</v>
      </c>
      <c r="G9" s="93">
        <f>VLOOKUP(C9,국내2!$C$59:$P$107,$D$5+1,0)</f>
        <v>2562</v>
      </c>
      <c r="H9" s="94">
        <f>VLOOKUP(C9,국내2!$C$5:$P$53,$H$5+1,0)</f>
        <v>2560</v>
      </c>
      <c r="I9" s="90">
        <f>국내2!P8</f>
        <v>5213</v>
      </c>
      <c r="J9" s="92">
        <f t="shared" si="2"/>
        <v>-0.11703929539295393</v>
      </c>
      <c r="K9" s="218">
        <f>SUM(국내2!D62:'국내2'!E62)</f>
        <v>5904</v>
      </c>
      <c r="L9" s="13"/>
      <c r="M9" s="73"/>
      <c r="N9" s="73"/>
      <c r="O9" s="280"/>
    </row>
    <row r="10" spans="1:18" ht="21.9" customHeight="1">
      <c r="A10" s="89"/>
      <c r="B10" s="687"/>
      <c r="C10" s="116" t="s">
        <v>334</v>
      </c>
      <c r="D10" s="90">
        <f>VLOOKUP(C10,국내2!$C$5:$P$54,$D$5+1,0)</f>
        <v>4168</v>
      </c>
      <c r="E10" s="91">
        <f t="shared" si="0"/>
        <v>0.42155525238744884</v>
      </c>
      <c r="F10" s="92">
        <f t="shared" si="1"/>
        <v>0.20776586496667632</v>
      </c>
      <c r="G10" s="93">
        <f>VLOOKUP(C10,국내2!$C$59:$P$107,$D$5+1,0)</f>
        <v>2932</v>
      </c>
      <c r="H10" s="94">
        <f>VLOOKUP(C10,국내2!$C$5:$P$53,$H$5+1,0)</f>
        <v>3451</v>
      </c>
      <c r="I10" s="90">
        <f>국내2!P9</f>
        <v>7619</v>
      </c>
      <c r="J10" s="92">
        <f t="shared" si="2"/>
        <v>0.38577664605311024</v>
      </c>
      <c r="K10" s="218">
        <f>SUM(국내2!D63:'국내2'!E63)</f>
        <v>5498</v>
      </c>
      <c r="L10" s="13"/>
      <c r="M10" s="73"/>
      <c r="N10" s="73"/>
    </row>
    <row r="11" spans="1:18" ht="21.9" customHeight="1">
      <c r="A11" s="89"/>
      <c r="B11" s="688"/>
      <c r="C11" s="116" t="s">
        <v>102</v>
      </c>
      <c r="D11" s="90">
        <f>VLOOKUP(C11,국내2!$C$5:$P$54,$D$5+1,0)</f>
        <v>120</v>
      </c>
      <c r="E11" s="91">
        <f t="shared" si="0"/>
        <v>-0.26829268292682928</v>
      </c>
      <c r="F11" s="92">
        <f t="shared" si="1"/>
        <v>6.1946902654867256E-2</v>
      </c>
      <c r="G11" s="93">
        <f>VLOOKUP(C11,국내2!$C$59:$P$107,$D$5+1,0)</f>
        <v>164</v>
      </c>
      <c r="H11" s="94">
        <f>VLOOKUP(C11,국내2!$C$5:$P$53,$H$5+1,0)</f>
        <v>113</v>
      </c>
      <c r="I11" s="90">
        <f>국내2!P10</f>
        <v>233</v>
      </c>
      <c r="J11" s="92">
        <f t="shared" si="2"/>
        <v>-0.29393939393939394</v>
      </c>
      <c r="K11" s="218">
        <f>SUM(국내2!D64:'국내2'!E64)</f>
        <v>330</v>
      </c>
      <c r="L11" s="13"/>
      <c r="M11" s="73"/>
      <c r="N11" s="73"/>
    </row>
    <row r="12" spans="1:18" ht="21.9" customHeight="1">
      <c r="A12" s="89"/>
      <c r="B12" s="688"/>
      <c r="C12" s="116" t="s">
        <v>47</v>
      </c>
      <c r="D12" s="90">
        <f>VLOOKUP(C12,국내2!$C$5:$P$54,$D$5+1,0)</f>
        <v>301</v>
      </c>
      <c r="E12" s="91">
        <f>(D12-G12)/G12</f>
        <v>-0.43947858472998136</v>
      </c>
      <c r="F12" s="92">
        <f>(D12-H12)/H12</f>
        <v>-0.30162412993039445</v>
      </c>
      <c r="G12" s="93">
        <f>VLOOKUP(C12,국내2!$C$59:$P$107,$D$5+1,0)</f>
        <v>537</v>
      </c>
      <c r="H12" s="94">
        <f>VLOOKUP(C12,국내2!$C$5:$P$53,$H$5+1,0)</f>
        <v>431</v>
      </c>
      <c r="I12" s="90">
        <f>국내2!P11</f>
        <v>732</v>
      </c>
      <c r="J12" s="92">
        <f t="shared" si="2"/>
        <v>-0.28515625</v>
      </c>
      <c r="K12" s="218">
        <f>SUM(국내2!D65:'국내2'!E65)</f>
        <v>1024</v>
      </c>
      <c r="L12" s="13"/>
      <c r="M12" s="73"/>
      <c r="N12" s="73"/>
    </row>
    <row r="13" spans="1:18" ht="21.9" customHeight="1">
      <c r="A13" s="89"/>
      <c r="B13" s="688"/>
      <c r="C13" s="95" t="s">
        <v>11</v>
      </c>
      <c r="D13" s="96">
        <f>SUM(D6:D12)</f>
        <v>14583</v>
      </c>
      <c r="E13" s="97">
        <f t="shared" si="0"/>
        <v>0.14953492038467603</v>
      </c>
      <c r="F13" s="98">
        <f t="shared" si="1"/>
        <v>0.13020227853987446</v>
      </c>
      <c r="G13" s="99">
        <f>SUM(G6:G12)</f>
        <v>12686</v>
      </c>
      <c r="H13" s="99">
        <f>SUM(H6:H12)</f>
        <v>12903</v>
      </c>
      <c r="I13" s="96">
        <f>SUM(I6:I12)</f>
        <v>27486</v>
      </c>
      <c r="J13" s="98">
        <f t="shared" si="2"/>
        <v>5.0246456000917046E-2</v>
      </c>
      <c r="K13" s="219">
        <f>SUM(K6:K12)</f>
        <v>26171</v>
      </c>
      <c r="L13" s="13"/>
      <c r="M13" s="73"/>
      <c r="N13" s="73"/>
    </row>
    <row r="14" spans="1:18" ht="21.9" customHeight="1">
      <c r="A14" s="89"/>
      <c r="B14" s="687"/>
      <c r="C14" s="116" t="s">
        <v>86</v>
      </c>
      <c r="D14" s="90">
        <f>VLOOKUP(C14,국내2!$C$5:$P$54,$D$5+1,0)</f>
        <v>1880</v>
      </c>
      <c r="E14" s="91">
        <f t="shared" si="0"/>
        <v>-0.26819774231218374</v>
      </c>
      <c r="F14" s="92">
        <f t="shared" si="1"/>
        <v>0.48148148148148145</v>
      </c>
      <c r="G14" s="93">
        <f>VLOOKUP(C14,국내2!$C$59:$P$107,$D$5+1,0)</f>
        <v>2569</v>
      </c>
      <c r="H14" s="94">
        <f>VLOOKUP(C14,국내2!$C$5:$P$53,$H$5+1,0)</f>
        <v>1269</v>
      </c>
      <c r="I14" s="90">
        <f>국내2!P13</f>
        <v>3149</v>
      </c>
      <c r="J14" s="92">
        <f t="shared" ref="J14:J20" si="3">(I14-K14)/K14</f>
        <v>-0.16978644872132875</v>
      </c>
      <c r="K14" s="218">
        <f>SUM(국내2!D67:'국내2'!E67)</f>
        <v>3793</v>
      </c>
      <c r="L14" s="13"/>
      <c r="M14" s="73"/>
      <c r="N14" s="73"/>
    </row>
    <row r="15" spans="1:18" ht="21.9" customHeight="1">
      <c r="A15" s="89"/>
      <c r="B15" s="687"/>
      <c r="C15" s="116" t="s">
        <v>347</v>
      </c>
      <c r="D15" s="90">
        <f>VLOOKUP(C15,국내2!$C$5:$P$54,$D$5+1,0)</f>
        <v>1951</v>
      </c>
      <c r="E15" s="91">
        <f>(D15-G15)/G15</f>
        <v>0.14361078546307152</v>
      </c>
      <c r="F15" s="92" t="e">
        <f>(D15-H15)/H15</f>
        <v>#DIV/0!</v>
      </c>
      <c r="G15" s="93">
        <f>VLOOKUP(C15,국내2!$C$59:$P$107,$D$5+1,0)</f>
        <v>1706</v>
      </c>
      <c r="H15" s="94">
        <f>VLOOKUP(C15,국내2!$C$5:$P$53,$H$5+1,0)</f>
        <v>0</v>
      </c>
      <c r="I15" s="90">
        <f>국내2!P14</f>
        <v>1951</v>
      </c>
      <c r="J15" s="92">
        <f>I15/K15-1</f>
        <v>7.1389346512904961E-2</v>
      </c>
      <c r="K15" s="218">
        <f>SUM(국내2!D68:'국내2'!E68)</f>
        <v>1821</v>
      </c>
      <c r="L15" s="13"/>
      <c r="M15" s="73"/>
      <c r="N15" s="73"/>
    </row>
    <row r="16" spans="1:18" ht="21.9" customHeight="1">
      <c r="A16" s="89"/>
      <c r="B16" s="687"/>
      <c r="C16" s="116" t="s">
        <v>135</v>
      </c>
      <c r="D16" s="90">
        <f>VLOOKUP(C16,국내2!$C$5:$P$54,$D$5+1,0)</f>
        <v>5552</v>
      </c>
      <c r="E16" s="91">
        <f>(D16-G16)/G16</f>
        <v>0.56924816280384394</v>
      </c>
      <c r="F16" s="92">
        <f>(D16-H16)/H16</f>
        <v>0.64943553178847302</v>
      </c>
      <c r="G16" s="93">
        <f>VLOOKUP(C16,국내2!$C$59:$P$107,$D$5+1,0)</f>
        <v>3538</v>
      </c>
      <c r="H16" s="94">
        <f>VLOOKUP(C16,국내2!$C$5:$P$53,$H$5+1,0)</f>
        <v>3366</v>
      </c>
      <c r="I16" s="90">
        <f>국내2!P15</f>
        <v>8918</v>
      </c>
      <c r="J16" s="92">
        <f>I16/K16-1</f>
        <v>0.27290893519840131</v>
      </c>
      <c r="K16" s="218">
        <f>SUM(국내2!D69:'국내2'!E69)</f>
        <v>7006</v>
      </c>
      <c r="L16" s="13"/>
      <c r="M16" s="73"/>
      <c r="N16" s="73"/>
    </row>
    <row r="17" spans="1:17" ht="21.9" customHeight="1">
      <c r="A17" s="89"/>
      <c r="B17" s="687"/>
      <c r="C17" s="116" t="s">
        <v>150</v>
      </c>
      <c r="D17" s="90">
        <f>VLOOKUP(C17,국내2!$C$5:$P$54,$D$5+1,0)</f>
        <v>5689</v>
      </c>
      <c r="E17" s="91">
        <f t="shared" si="0"/>
        <v>0.5046284051838138</v>
      </c>
      <c r="F17" s="92">
        <f t="shared" si="1"/>
        <v>3.5870356882738527E-2</v>
      </c>
      <c r="G17" s="93">
        <f>VLOOKUP(C17,국내2!$C$59:$P$107,$D$5+1,0)</f>
        <v>3781</v>
      </c>
      <c r="H17" s="94">
        <f>VLOOKUP(C17,국내2!$C$5:$P$53,$H$5+1,0)</f>
        <v>5492</v>
      </c>
      <c r="I17" s="90">
        <f>국내2!P16</f>
        <v>11181</v>
      </c>
      <c r="J17" s="92">
        <f>I17/K17-1</f>
        <v>0.35757649344341913</v>
      </c>
      <c r="K17" s="218">
        <f>SUM(국내2!D70:'국내2'!E70)</f>
        <v>8236</v>
      </c>
      <c r="L17" s="13"/>
      <c r="M17" s="73"/>
      <c r="N17" s="73"/>
    </row>
    <row r="18" spans="1:17" ht="21.9" customHeight="1">
      <c r="A18" s="89"/>
      <c r="B18" s="687"/>
      <c r="C18" s="116" t="s">
        <v>151</v>
      </c>
      <c r="D18" s="90">
        <f>VLOOKUP(C18,국내2!$C$5:$P$54,$D$5+1,0)</f>
        <v>4745</v>
      </c>
      <c r="E18" s="91">
        <f t="shared" si="0"/>
        <v>-6.4907872696817418E-3</v>
      </c>
      <c r="F18" s="92">
        <f t="shared" si="1"/>
        <v>2.9060941227499457E-2</v>
      </c>
      <c r="G18" s="93">
        <f>VLOOKUP(C18,국내2!$C$59:$P$107,$D$5+1,0)</f>
        <v>4776</v>
      </c>
      <c r="H18" s="94">
        <f>VLOOKUP(C18,국내2!$C$5:$P$53,$H$5+1,0)</f>
        <v>4611</v>
      </c>
      <c r="I18" s="90">
        <f>국내2!P17</f>
        <v>9356</v>
      </c>
      <c r="J18" s="92">
        <f t="shared" si="3"/>
        <v>-4.9380207274944118E-2</v>
      </c>
      <c r="K18" s="218">
        <f>SUM(국내2!D71:'국내2'!E71)</f>
        <v>9842</v>
      </c>
      <c r="L18" s="13"/>
      <c r="M18" s="73"/>
      <c r="N18" s="73"/>
    </row>
    <row r="19" spans="1:17" ht="21.9" customHeight="1">
      <c r="A19" s="89"/>
      <c r="B19" s="687"/>
      <c r="C19" s="116" t="s">
        <v>67</v>
      </c>
      <c r="D19" s="90">
        <f>VLOOKUP(C19,국내2!$C$5:$P$54,$D$5+1,0)</f>
        <v>504</v>
      </c>
      <c r="E19" s="91">
        <f t="shared" si="0"/>
        <v>-0.46947368421052632</v>
      </c>
      <c r="F19" s="92">
        <f t="shared" si="1"/>
        <v>4.5643153526970952E-2</v>
      </c>
      <c r="G19" s="93">
        <f>VLOOKUP(C19,국내2!$C$59:$P$107,$D$5+1,0)</f>
        <v>950</v>
      </c>
      <c r="H19" s="94">
        <f>VLOOKUP(C19,국내2!$C$5:$P$53,$H$5+1,0)</f>
        <v>482</v>
      </c>
      <c r="I19" s="90">
        <f>국내2!P18</f>
        <v>986</v>
      </c>
      <c r="J19" s="92">
        <f t="shared" si="3"/>
        <v>-0.27286135693215341</v>
      </c>
      <c r="K19" s="218">
        <f>SUM(국내2!D72:'국내2'!E72)</f>
        <v>1356</v>
      </c>
      <c r="L19" s="13"/>
      <c r="M19" s="73"/>
      <c r="N19" s="73"/>
    </row>
    <row r="20" spans="1:17" ht="21.9" customHeight="1">
      <c r="A20" s="89"/>
      <c r="B20" s="687"/>
      <c r="C20" s="116" t="s">
        <v>143</v>
      </c>
      <c r="D20" s="90">
        <f>VLOOKUP(C20,국내2!$C$5:$P$54,$D$5+1,0)</f>
        <v>6039</v>
      </c>
      <c r="E20" s="91">
        <f t="shared" si="0"/>
        <v>0.93124400383754402</v>
      </c>
      <c r="F20" s="92">
        <f t="shared" si="1"/>
        <v>-0.12528968713789107</v>
      </c>
      <c r="G20" s="93">
        <f>VLOOKUP(C20,국내2!$C$59:$P$107,$D$5+1,0)</f>
        <v>3127</v>
      </c>
      <c r="H20" s="94">
        <f>VLOOKUP(C20,국내2!$C$5:$P$53,$H$5+1,0)</f>
        <v>6904</v>
      </c>
      <c r="I20" s="90">
        <f>국내2!P19</f>
        <v>12943</v>
      </c>
      <c r="J20" s="92">
        <f t="shared" si="3"/>
        <v>0.7874602955392902</v>
      </c>
      <c r="K20" s="218">
        <f>SUM(국내2!D73:'국내2'!E73)</f>
        <v>7241</v>
      </c>
      <c r="L20" s="13"/>
      <c r="M20" s="73"/>
      <c r="N20" s="73"/>
    </row>
    <row r="21" spans="1:17" ht="21.9" customHeight="1">
      <c r="A21" s="89"/>
      <c r="B21" s="688"/>
      <c r="C21" s="95" t="s">
        <v>12</v>
      </c>
      <c r="D21" s="96">
        <f>SUM(D14:D20)</f>
        <v>26360</v>
      </c>
      <c r="E21" s="97">
        <f t="shared" si="0"/>
        <v>0.2891866777522375</v>
      </c>
      <c r="F21" s="98">
        <f t="shared" si="1"/>
        <v>0.19146628096185139</v>
      </c>
      <c r="G21" s="99">
        <f>SUM(G14:G20)</f>
        <v>20447</v>
      </c>
      <c r="H21" s="100">
        <f>SUM(H14:H20)</f>
        <v>22124</v>
      </c>
      <c r="I21" s="96">
        <f>SUM(I14:I20)</f>
        <v>48484</v>
      </c>
      <c r="J21" s="98">
        <f t="shared" ref="J21:J32" si="4">(I21-K21)/K21</f>
        <v>0.23384654536200533</v>
      </c>
      <c r="K21" s="219">
        <f>SUM(K14:K20)</f>
        <v>39295</v>
      </c>
      <c r="L21" s="13"/>
      <c r="M21" s="73"/>
      <c r="N21" s="73"/>
      <c r="O21" s="283" t="s">
        <v>129</v>
      </c>
      <c r="P21" s="284"/>
      <c r="Q21" s="284"/>
    </row>
    <row r="22" spans="1:17" ht="21.9" customHeight="1">
      <c r="A22" s="89"/>
      <c r="B22" s="687"/>
      <c r="C22" s="116" t="s">
        <v>152</v>
      </c>
      <c r="D22" s="90">
        <f>VLOOKUP(C22,국내2!$C$5:$P$54,$D$5+1,0)</f>
        <v>8977</v>
      </c>
      <c r="E22" s="91">
        <f t="shared" si="0"/>
        <v>0.44093097913322632</v>
      </c>
      <c r="F22" s="92">
        <f t="shared" si="1"/>
        <v>1.5075418994413408</v>
      </c>
      <c r="G22" s="93">
        <f>VLOOKUP(C22,국내2!$C$59:$P$107,$D$5+1,0)</f>
        <v>6230</v>
      </c>
      <c r="H22" s="94">
        <f>VLOOKUP(C22,국내2!$C$5:$P$53,$H$5+1,0)</f>
        <v>3580</v>
      </c>
      <c r="I22" s="90">
        <f>국내2!P21</f>
        <v>12557</v>
      </c>
      <c r="J22" s="92">
        <f t="shared" si="4"/>
        <v>0.16809302325581396</v>
      </c>
      <c r="K22" s="218">
        <f>SUM(국내2!D75:'국내2'!E75)</f>
        <v>10750</v>
      </c>
      <c r="L22" s="13"/>
      <c r="M22" s="73"/>
      <c r="N22" s="73"/>
      <c r="O22" s="284"/>
      <c r="P22" s="284"/>
      <c r="Q22" s="284"/>
    </row>
    <row r="23" spans="1:17" ht="21.9" customHeight="1">
      <c r="A23" s="89"/>
      <c r="B23" s="687"/>
      <c r="C23" s="116" t="s">
        <v>68</v>
      </c>
      <c r="D23" s="90">
        <f>VLOOKUP(C23,국내2!$C$5:$P$54,$D$5+1,0)</f>
        <v>96</v>
      </c>
      <c r="E23" s="91">
        <f t="shared" si="0"/>
        <v>0.92</v>
      </c>
      <c r="F23" s="92">
        <f t="shared" si="1"/>
        <v>0.352112676056338</v>
      </c>
      <c r="G23" s="93">
        <f>VLOOKUP(C23,국내2!$C$59:$P$107,$D$5+1,0)</f>
        <v>50</v>
      </c>
      <c r="H23" s="94">
        <f>VLOOKUP(C23,국내2!$C$5:$P$53,$H$5+1,0)</f>
        <v>71</v>
      </c>
      <c r="I23" s="90">
        <f>국내2!P22</f>
        <v>167</v>
      </c>
      <c r="J23" s="92">
        <f t="shared" si="4"/>
        <v>0.49107142857142855</v>
      </c>
      <c r="K23" s="218">
        <f>SUM(국내2!D76:'국내2'!E76)</f>
        <v>112</v>
      </c>
      <c r="L23" s="13"/>
      <c r="M23" s="73"/>
      <c r="N23" s="73"/>
      <c r="O23" s="284"/>
      <c r="P23" s="284"/>
      <c r="Q23" s="284"/>
    </row>
    <row r="24" spans="1:17" ht="21.9" customHeight="1">
      <c r="A24" s="89"/>
      <c r="B24" s="688"/>
      <c r="C24" s="95" t="s">
        <v>13</v>
      </c>
      <c r="D24" s="96">
        <f>SUM(D22:D23)</f>
        <v>9073</v>
      </c>
      <c r="E24" s="97">
        <f t="shared" si="0"/>
        <v>0.44474522292993629</v>
      </c>
      <c r="F24" s="98">
        <f t="shared" si="1"/>
        <v>1.4850725828540126</v>
      </c>
      <c r="G24" s="99">
        <f>SUM(G22:G23)</f>
        <v>6280</v>
      </c>
      <c r="H24" s="100">
        <f>SUM(H22:H23)</f>
        <v>3651</v>
      </c>
      <c r="I24" s="96">
        <f>SUM(I22:I23)</f>
        <v>12724</v>
      </c>
      <c r="J24" s="98">
        <f t="shared" si="4"/>
        <v>0.17142331062419444</v>
      </c>
      <c r="K24" s="219">
        <f>SUM(K22:K23)</f>
        <v>10862</v>
      </c>
      <c r="L24" s="13"/>
      <c r="M24" s="73"/>
      <c r="N24" s="73"/>
      <c r="O24" s="284"/>
      <c r="P24" s="284"/>
      <c r="Q24" s="284"/>
    </row>
    <row r="25" spans="1:17" ht="21.9" customHeight="1">
      <c r="A25" s="89"/>
      <c r="B25" s="536"/>
      <c r="C25" s="116" t="s">
        <v>366</v>
      </c>
      <c r="D25" s="90">
        <f>VLOOKUP(C25,국내2!$C$5:$P$54,$D$5+1,0)</f>
        <v>0</v>
      </c>
      <c r="E25" s="91" t="e">
        <f t="shared" ref="E25:E26" si="5">(D25-G25)/G25</f>
        <v>#DIV/0!</v>
      </c>
      <c r="F25" s="92" t="e">
        <f t="shared" ref="F25:F26" si="6">(D25-H25)/H25</f>
        <v>#DIV/0!</v>
      </c>
      <c r="G25" s="93">
        <f>VLOOKUP(C25,국내2!$C$59:$P$107,$D$5+1,0)</f>
        <v>0</v>
      </c>
      <c r="H25" s="94">
        <f>VLOOKUP(C25,국내2!$C$5:$P$53,$H$5+1,0)</f>
        <v>0</v>
      </c>
      <c r="I25" s="90">
        <f>국내2!P25</f>
        <v>0</v>
      </c>
      <c r="J25" s="92" t="e">
        <f t="shared" ref="J25:J27" si="7">(I25-K25)/K25</f>
        <v>#DIV/0!</v>
      </c>
      <c r="K25" s="218">
        <f>SUM(국내2!D79:'국내2'!E79)</f>
        <v>0</v>
      </c>
      <c r="L25" s="13"/>
      <c r="M25" s="73"/>
      <c r="N25" s="73"/>
      <c r="O25" s="284"/>
      <c r="P25" s="284"/>
      <c r="Q25" s="284"/>
    </row>
    <row r="26" spans="1:17" ht="21.9" customHeight="1">
      <c r="A26" s="89"/>
      <c r="B26" s="536"/>
      <c r="C26" s="116" t="s">
        <v>361</v>
      </c>
      <c r="D26" s="90">
        <f>VLOOKUP(C26,국내2!$C$5:$P$54,$D$5+1,0)</f>
        <v>89</v>
      </c>
      <c r="E26" s="91">
        <f t="shared" si="5"/>
        <v>-0.39455782312925169</v>
      </c>
      <c r="F26" s="92">
        <f t="shared" si="6"/>
        <v>0.18666666666666668</v>
      </c>
      <c r="G26" s="93">
        <f>VLOOKUP(C26,국내2!$C$59:$P$107,$D$5+1,0)</f>
        <v>147</v>
      </c>
      <c r="H26" s="94">
        <f>VLOOKUP(C26,국내2!$C$5:$P$53,$H$5+1,0)</f>
        <v>75</v>
      </c>
      <c r="I26" s="90">
        <f>국내2!P26</f>
        <v>164</v>
      </c>
      <c r="J26" s="92">
        <f t="shared" si="7"/>
        <v>-0.3925925925925926</v>
      </c>
      <c r="K26" s="218">
        <f>SUM(국내2!D80:'국내2'!E80)</f>
        <v>270</v>
      </c>
      <c r="L26" s="13"/>
      <c r="M26" s="73"/>
      <c r="N26" s="73"/>
      <c r="O26" s="284"/>
      <c r="P26" s="284"/>
      <c r="Q26" s="284"/>
    </row>
    <row r="27" spans="1:17" ht="21.9" customHeight="1">
      <c r="A27" s="89"/>
      <c r="B27" s="536"/>
      <c r="C27" s="537" t="s">
        <v>39</v>
      </c>
      <c r="D27" s="538">
        <f>SUM(D25:D26)</f>
        <v>89</v>
      </c>
      <c r="E27" s="539">
        <f t="shared" ref="E27" si="8">(D27-G27)/G27</f>
        <v>-0.39455782312925169</v>
      </c>
      <c r="F27" s="540">
        <f t="shared" ref="F27" si="9">(D27-H27)/H27</f>
        <v>0.18666666666666668</v>
      </c>
      <c r="G27" s="541">
        <f>SUM(G25:G26)</f>
        <v>147</v>
      </c>
      <c r="H27" s="542">
        <f>SUM(H25:H26)</f>
        <v>75</v>
      </c>
      <c r="I27" s="538">
        <f>SUM(I25:I26)</f>
        <v>164</v>
      </c>
      <c r="J27" s="540">
        <f t="shared" si="7"/>
        <v>-0.3925925925925926</v>
      </c>
      <c r="K27" s="543">
        <f>SUM(K25:K26)</f>
        <v>270</v>
      </c>
      <c r="L27" s="13"/>
      <c r="M27" s="73"/>
      <c r="N27" s="73"/>
      <c r="O27" s="284"/>
      <c r="P27" s="284"/>
      <c r="Q27" s="284"/>
    </row>
    <row r="28" spans="1:17" ht="21.9" customHeight="1">
      <c r="A28" s="689" t="s">
        <v>14</v>
      </c>
      <c r="B28" s="690"/>
      <c r="C28" s="691"/>
      <c r="D28" s="101">
        <f>D13+D21+D24+D27</f>
        <v>50105</v>
      </c>
      <c r="E28" s="102">
        <f t="shared" si="0"/>
        <v>0.26655712841253792</v>
      </c>
      <c r="F28" s="103">
        <f>(D28-H28)/H28</f>
        <v>0.29293216009083167</v>
      </c>
      <c r="G28" s="104">
        <f>G13+G21+G24+G27</f>
        <v>39560</v>
      </c>
      <c r="H28" s="104">
        <f>H13+H21+H24+H27</f>
        <v>38753</v>
      </c>
      <c r="I28" s="101">
        <f>I13+I21+I24+I27</f>
        <v>88858</v>
      </c>
      <c r="J28" s="103">
        <f t="shared" si="4"/>
        <v>0.16005639833938223</v>
      </c>
      <c r="K28" s="220">
        <f>K13+K21+K24+K27</f>
        <v>76598</v>
      </c>
      <c r="L28" s="13"/>
      <c r="M28" s="73"/>
      <c r="N28" s="73"/>
      <c r="O28" s="283" t="s">
        <v>130</v>
      </c>
      <c r="P28" s="284"/>
      <c r="Q28" s="284"/>
    </row>
    <row r="29" spans="1:17" ht="21.9" customHeight="1">
      <c r="A29" s="635"/>
      <c r="B29" s="638"/>
      <c r="C29" s="634" t="s">
        <v>371</v>
      </c>
      <c r="D29" s="640">
        <f>VLOOKUP(D5,'⊙ 월별'!B3:J15,5,0)</f>
        <v>203708</v>
      </c>
      <c r="E29" s="641">
        <f t="shared" si="0"/>
        <v>0.11982848661425979</v>
      </c>
      <c r="F29" s="642">
        <f t="shared" ref="F29:F30" si="10">(D29-H29)/H29</f>
        <v>3.8669413228365729E-2</v>
      </c>
      <c r="G29" s="646">
        <f>VLOOKUP(G5,'⊙ 월별'!B19:J31,5,0)</f>
        <v>181910</v>
      </c>
      <c r="H29" s="647">
        <f>VLOOKUP(H5,'⊙ 월별'!B3:J15,5,0)</f>
        <v>196124</v>
      </c>
      <c r="I29" s="640">
        <f>'⊙ 월별'!F15</f>
        <v>399832</v>
      </c>
      <c r="J29" s="642">
        <f t="shared" si="4"/>
        <v>0.11680236861584012</v>
      </c>
      <c r="K29" s="217">
        <f>SUM('⊙ 월별'!F19:F20)</f>
        <v>358015</v>
      </c>
      <c r="L29" s="13"/>
      <c r="M29" s="73"/>
      <c r="N29" s="73"/>
      <c r="O29" s="283"/>
      <c r="P29" s="284"/>
      <c r="Q29" s="284"/>
    </row>
    <row r="30" spans="1:17" ht="21.9" customHeight="1">
      <c r="A30" s="636"/>
      <c r="B30" s="639"/>
      <c r="C30" s="637" t="s">
        <v>370</v>
      </c>
      <c r="D30" s="643">
        <f>VLOOKUP(D5,'⊙ 월별'!B3:J15,6,0)</f>
        <v>214</v>
      </c>
      <c r="E30" s="644">
        <f t="shared" si="0"/>
        <v>106</v>
      </c>
      <c r="F30" s="645">
        <f t="shared" si="10"/>
        <v>-6.1403508771929821E-2</v>
      </c>
      <c r="G30" s="648">
        <f>VLOOKUP(G5,'⊙ 월별'!B19:J31,6,0)</f>
        <v>2</v>
      </c>
      <c r="H30" s="649">
        <f>VLOOKUP(H5,'⊙ 월별'!B3:J15,6,0)</f>
        <v>228</v>
      </c>
      <c r="I30" s="643">
        <f>'⊙ 월별'!G15</f>
        <v>442</v>
      </c>
      <c r="J30" s="645">
        <f t="shared" si="4"/>
        <v>3.510204081632653</v>
      </c>
      <c r="K30" s="650">
        <f>SUM('⊙ 월별'!G19:G20)</f>
        <v>98</v>
      </c>
      <c r="L30" s="13"/>
      <c r="M30" s="73"/>
      <c r="N30" s="73"/>
      <c r="O30" s="283"/>
      <c r="P30" s="284"/>
      <c r="Q30" s="284"/>
    </row>
    <row r="31" spans="1:17" ht="21.9" customHeight="1">
      <c r="A31" s="683" t="s">
        <v>15</v>
      </c>
      <c r="B31" s="684"/>
      <c r="C31" s="685"/>
      <c r="D31" s="105">
        <f>D29+D30</f>
        <v>203922</v>
      </c>
      <c r="E31" s="106">
        <f t="shared" si="0"/>
        <v>0.12099256783499714</v>
      </c>
      <c r="F31" s="107">
        <f t="shared" si="1"/>
        <v>3.8553210560625814E-2</v>
      </c>
      <c r="G31" s="108">
        <f>G29+G30</f>
        <v>181912</v>
      </c>
      <c r="H31" s="109">
        <f>H29+H30</f>
        <v>196352</v>
      </c>
      <c r="I31" s="105">
        <f>I29+I30</f>
        <v>400274</v>
      </c>
      <c r="J31" s="107">
        <f t="shared" si="4"/>
        <v>0.11773099552375926</v>
      </c>
      <c r="K31" s="221">
        <f>K29+K30</f>
        <v>358113</v>
      </c>
      <c r="L31" s="13"/>
      <c r="M31" s="73"/>
      <c r="N31" s="73"/>
      <c r="O31" s="285" t="s">
        <v>131</v>
      </c>
      <c r="P31" s="284"/>
      <c r="Q31" s="284"/>
    </row>
    <row r="32" spans="1:17" ht="21.9" customHeight="1" thickBot="1">
      <c r="A32" s="680" t="s">
        <v>6</v>
      </c>
      <c r="B32" s="681"/>
      <c r="C32" s="682"/>
      <c r="D32" s="110">
        <f>D28+D31</f>
        <v>254027</v>
      </c>
      <c r="E32" s="111">
        <f t="shared" si="0"/>
        <v>0.1469937509030487</v>
      </c>
      <c r="F32" s="112">
        <f t="shared" si="1"/>
        <v>8.0483188362646479E-2</v>
      </c>
      <c r="G32" s="113">
        <f>G28+G31</f>
        <v>221472</v>
      </c>
      <c r="H32" s="114">
        <f>H31+H28</f>
        <v>235105</v>
      </c>
      <c r="I32" s="110">
        <f>I28+I31</f>
        <v>489132</v>
      </c>
      <c r="J32" s="112">
        <f t="shared" si="4"/>
        <v>0.12518891861489587</v>
      </c>
      <c r="K32" s="115">
        <f>K31+K28</f>
        <v>434711</v>
      </c>
      <c r="L32" s="13"/>
      <c r="M32" s="73"/>
      <c r="N32" s="73"/>
    </row>
    <row r="33" spans="1:14" ht="7.5" customHeight="1" thickTop="1">
      <c r="I33" s="13"/>
      <c r="M33" s="73"/>
      <c r="N33" s="73"/>
    </row>
    <row r="34" spans="1:14" ht="26.25" customHeight="1">
      <c r="A34" s="117" t="s">
        <v>114</v>
      </c>
      <c r="B34" s="117"/>
      <c r="C34" s="118"/>
      <c r="D34" s="119"/>
      <c r="E34" s="120"/>
      <c r="F34" s="121"/>
      <c r="G34" s="122"/>
      <c r="H34" s="122"/>
      <c r="I34" s="119"/>
      <c r="J34" s="121"/>
      <c r="K34" s="119"/>
      <c r="M34" s="73"/>
      <c r="N34" s="73"/>
    </row>
    <row r="35" spans="1:14" ht="1.5" customHeight="1">
      <c r="A35" s="123"/>
      <c r="B35" s="124"/>
      <c r="C35" s="125"/>
      <c r="D35" s="126"/>
      <c r="E35" s="127"/>
      <c r="F35" s="127"/>
      <c r="G35" s="128"/>
      <c r="H35" s="128"/>
      <c r="I35" s="126"/>
      <c r="J35" s="127"/>
      <c r="K35" s="128"/>
      <c r="L35" s="13"/>
      <c r="M35" s="73"/>
      <c r="N35" s="73"/>
    </row>
    <row r="36" spans="1:14" ht="18.600000000000001" customHeight="1">
      <c r="A36" s="123"/>
      <c r="B36" s="693" t="s">
        <v>17</v>
      </c>
      <c r="C36" s="694"/>
      <c r="D36" s="287">
        <f>D9</f>
        <v>2653</v>
      </c>
      <c r="E36" s="288">
        <f>(D36-G36)/G36</f>
        <v>3.5519125683060107E-2</v>
      </c>
      <c r="F36" s="289">
        <f>(D36-H36)/H36</f>
        <v>3.6328125000000003E-2</v>
      </c>
      <c r="G36" s="132">
        <f>G9</f>
        <v>2562</v>
      </c>
      <c r="H36" s="133">
        <f>H9</f>
        <v>2560</v>
      </c>
      <c r="I36" s="287">
        <f>I9</f>
        <v>5213</v>
      </c>
      <c r="J36" s="289">
        <f>(I36-K36)/K36</f>
        <v>-0.11703929539295393</v>
      </c>
      <c r="K36" s="134">
        <f>K9</f>
        <v>5904</v>
      </c>
      <c r="L36" s="13"/>
      <c r="M36" s="73"/>
      <c r="N36" s="73"/>
    </row>
    <row r="37" spans="1:14" ht="18.600000000000001" customHeight="1">
      <c r="A37" s="123"/>
      <c r="B37" s="138"/>
      <c r="C37" s="145" t="s">
        <v>340</v>
      </c>
      <c r="D37" s="262">
        <f>HLOOKUP(D5,국내2!C4:P53,29,0)</f>
        <v>823</v>
      </c>
      <c r="E37" s="263">
        <f>(D37-G37)/G37</f>
        <v>2.1091811414392061E-2</v>
      </c>
      <c r="F37" s="264">
        <f>(D37-H37)/H37</f>
        <v>2.7465667915106119E-2</v>
      </c>
      <c r="G37" s="271">
        <f>HLOOKUP(G5,국내2!C58:P107,29,0)</f>
        <v>806</v>
      </c>
      <c r="H37" s="143">
        <f>HLOOKUP(H5,국내2!C4:P53,29,0)</f>
        <v>801</v>
      </c>
      <c r="I37" s="262">
        <f>국내2!P32</f>
        <v>1624</v>
      </c>
      <c r="J37" s="264">
        <f>(I37-K37)/K37</f>
        <v>4.4372990353697746E-2</v>
      </c>
      <c r="K37" s="272">
        <f>SUM(국내2!D86:E86)</f>
        <v>1555</v>
      </c>
      <c r="L37" s="13"/>
      <c r="M37" s="73"/>
      <c r="N37" s="73"/>
    </row>
    <row r="38" spans="1:14" ht="7.5" customHeight="1" thickBot="1">
      <c r="A38" s="119"/>
      <c r="B38" s="119"/>
      <c r="C38" s="118"/>
      <c r="D38" s="119"/>
      <c r="E38" s="120"/>
      <c r="F38" s="121"/>
      <c r="G38" s="286"/>
      <c r="H38" s="119"/>
      <c r="I38" s="119"/>
      <c r="J38" s="121"/>
      <c r="K38" s="119"/>
      <c r="M38" s="73"/>
      <c r="N38" s="73"/>
    </row>
    <row r="39" spans="1:14" ht="18.600000000000001" customHeight="1">
      <c r="A39" s="119"/>
      <c r="B39" s="693" t="s">
        <v>337</v>
      </c>
      <c r="C39" s="694"/>
      <c r="D39" s="129">
        <f>D10</f>
        <v>4168</v>
      </c>
      <c r="E39" s="130">
        <f>(D39-G39)/G39</f>
        <v>0.42155525238744884</v>
      </c>
      <c r="F39" s="131">
        <f>(D39-H39)/H39</f>
        <v>0.20776586496667632</v>
      </c>
      <c r="G39" s="132">
        <f>G10</f>
        <v>2932</v>
      </c>
      <c r="H39" s="133">
        <f>H10</f>
        <v>3451</v>
      </c>
      <c r="I39" s="129">
        <f>I10</f>
        <v>7619</v>
      </c>
      <c r="J39" s="131">
        <f>(I39-K39)/K39</f>
        <v>0.38577664605311024</v>
      </c>
      <c r="K39" s="134">
        <f>K10</f>
        <v>5498</v>
      </c>
      <c r="M39" s="73"/>
      <c r="N39" s="73"/>
    </row>
    <row r="40" spans="1:14" ht="18.600000000000001" customHeight="1">
      <c r="A40" s="119"/>
      <c r="B40" s="138"/>
      <c r="C40" s="145" t="s">
        <v>339</v>
      </c>
      <c r="D40" s="262">
        <f>HLOOKUP(D5,국내2!C4:P53,33,0)</f>
        <v>2753</v>
      </c>
      <c r="E40" s="263">
        <f>(D40-G40)/G40</f>
        <v>0.73144654088050309</v>
      </c>
      <c r="F40" s="264">
        <f>(D40-H40)/H40</f>
        <v>0.38830055471507818</v>
      </c>
      <c r="G40" s="142">
        <f>HLOOKUP(G5,국내2!C58:P107,33,0)</f>
        <v>1590</v>
      </c>
      <c r="H40" s="143">
        <f>HLOOKUP(H5,국내2!C4:P53,33,0)</f>
        <v>1983</v>
      </c>
      <c r="I40" s="262">
        <f>국내2!P36</f>
        <v>4736</v>
      </c>
      <c r="J40" s="264">
        <f>(I40-K40)/K40</f>
        <v>0.50828025477707006</v>
      </c>
      <c r="K40" s="144">
        <f>SUM(국내2!D90:E90)</f>
        <v>3140</v>
      </c>
      <c r="M40" s="73"/>
      <c r="N40" s="73"/>
    </row>
    <row r="41" spans="1:14" ht="6.75" customHeight="1" thickBot="1">
      <c r="M41" s="73"/>
      <c r="N41" s="73"/>
    </row>
    <row r="42" spans="1:14" ht="18.600000000000001" customHeight="1">
      <c r="B42" s="693" t="s">
        <v>91</v>
      </c>
      <c r="C42" s="694"/>
      <c r="D42" s="129">
        <f>D14</f>
        <v>1880</v>
      </c>
      <c r="E42" s="130">
        <f>(D42-G42)/G42</f>
        <v>-0.26819774231218374</v>
      </c>
      <c r="F42" s="131">
        <f>(D42-H42)/H42</f>
        <v>0.48148148148148145</v>
      </c>
      <c r="G42" s="274">
        <f>G14</f>
        <v>2569</v>
      </c>
      <c r="H42" s="133">
        <f>H14</f>
        <v>1269</v>
      </c>
      <c r="I42" s="129">
        <f>I14</f>
        <v>3149</v>
      </c>
      <c r="J42" s="131">
        <f>(I42-K42)/K42</f>
        <v>-0.16978644872132875</v>
      </c>
      <c r="K42" s="276">
        <f>K14</f>
        <v>3793</v>
      </c>
    </row>
    <row r="43" spans="1:14" ht="18.600000000000001" customHeight="1">
      <c r="B43" s="135"/>
      <c r="C43" s="510" t="s">
        <v>349</v>
      </c>
      <c r="D43" s="136">
        <f>HLOOKUP(D5,국내2!C4:P53,36,0)</f>
        <v>1170</v>
      </c>
      <c r="E43" s="273">
        <f>D43/G43-1</f>
        <v>-0.49914383561643838</v>
      </c>
      <c r="F43" s="273">
        <f>D43/H43-1</f>
        <v>-7.7287066246056746E-2</v>
      </c>
      <c r="G43" s="275">
        <f>HLOOKUP(G5,국내2!C58:P107,36,0)</f>
        <v>2336</v>
      </c>
      <c r="H43" s="278">
        <f>HLOOKUP(H5,국내2!C4:P53,36,0)</f>
        <v>1268</v>
      </c>
      <c r="I43" s="136">
        <f>국내2!P39</f>
        <v>2438</v>
      </c>
      <c r="J43" s="137">
        <f>I43/K43-1</f>
        <v>-0.31323943661971831</v>
      </c>
      <c r="K43" s="277">
        <f>SUM(국내2!D93:E93)</f>
        <v>3550</v>
      </c>
    </row>
    <row r="44" spans="1:14" ht="18.600000000000001" customHeight="1" thickBot="1">
      <c r="B44" s="138"/>
      <c r="C44" s="145" t="s">
        <v>115</v>
      </c>
      <c r="D44" s="139">
        <f>D42-D43</f>
        <v>710</v>
      </c>
      <c r="E44" s="140">
        <f>D44/G44-1</f>
        <v>2.0472103004291844</v>
      </c>
      <c r="F44" s="141">
        <f>D44/H44-1</f>
        <v>709</v>
      </c>
      <c r="G44" s="271">
        <f>G42-G43</f>
        <v>233</v>
      </c>
      <c r="H44" s="279">
        <f>H42-H43</f>
        <v>1</v>
      </c>
      <c r="I44" s="139">
        <f>국내2!P40+국내2!P41</f>
        <v>711</v>
      </c>
      <c r="J44" s="141">
        <f>I44/K44-1</f>
        <v>1.925925925925926</v>
      </c>
      <c r="K44" s="272">
        <f>K42-K43</f>
        <v>243</v>
      </c>
      <c r="M44" s="5" t="s">
        <v>364</v>
      </c>
    </row>
    <row r="45" spans="1:14" ht="6.75" customHeight="1" thickBot="1"/>
    <row r="46" spans="1:14" ht="18.600000000000001" customHeight="1">
      <c r="B46" s="693" t="s">
        <v>346</v>
      </c>
      <c r="C46" s="694"/>
      <c r="D46" s="129">
        <f>D15</f>
        <v>1951</v>
      </c>
      <c r="E46" s="130">
        <f>D46/G46-1</f>
        <v>0.14361078546307149</v>
      </c>
      <c r="F46" s="131" t="e">
        <f>D46/H46-1</f>
        <v>#DIV/0!</v>
      </c>
      <c r="G46" s="274">
        <f>G15</f>
        <v>1706</v>
      </c>
      <c r="H46" s="133">
        <f>H15</f>
        <v>0</v>
      </c>
      <c r="I46" s="129">
        <f>I15</f>
        <v>1951</v>
      </c>
      <c r="J46" s="131">
        <f>I46/K46-1</f>
        <v>7.1389346512904961E-2</v>
      </c>
      <c r="K46" s="276">
        <f>K15</f>
        <v>1821</v>
      </c>
      <c r="L46" s="13"/>
    </row>
    <row r="47" spans="1:14" ht="18.600000000000001" customHeight="1" thickBot="1">
      <c r="B47" s="138"/>
      <c r="C47" s="145" t="s">
        <v>347</v>
      </c>
      <c r="D47" s="139">
        <f>D46</f>
        <v>1951</v>
      </c>
      <c r="E47" s="140">
        <f>D47/G47-1</f>
        <v>0.14361078546307149</v>
      </c>
      <c r="F47" s="141" t="e">
        <f>D47/H47-1</f>
        <v>#DIV/0!</v>
      </c>
      <c r="G47" s="271">
        <f>G46</f>
        <v>1706</v>
      </c>
      <c r="H47" s="143">
        <f>H46</f>
        <v>0</v>
      </c>
      <c r="I47" s="139">
        <f>I46</f>
        <v>1951</v>
      </c>
      <c r="J47" s="141">
        <f>I47/K47-1</f>
        <v>7.1389346512904961E-2</v>
      </c>
      <c r="K47" s="272">
        <f>K46</f>
        <v>1821</v>
      </c>
      <c r="L47" s="13"/>
    </row>
    <row r="48" spans="1:14" ht="6.75" customHeight="1" thickBot="1">
      <c r="B48" s="124"/>
      <c r="C48" s="499"/>
      <c r="D48" s="500"/>
      <c r="E48" s="501"/>
      <c r="F48" s="501"/>
      <c r="G48" s="502"/>
      <c r="H48" s="502"/>
      <c r="I48" s="500"/>
      <c r="J48" s="501"/>
      <c r="K48" s="128"/>
      <c r="L48" s="13"/>
    </row>
    <row r="49" spans="2:12" ht="18.600000000000001" customHeight="1">
      <c r="B49" s="693" t="s">
        <v>344</v>
      </c>
      <c r="C49" s="694"/>
      <c r="D49" s="129">
        <f>D17</f>
        <v>5689</v>
      </c>
      <c r="E49" s="130">
        <f>D49/G49-1</f>
        <v>0.50462840518381391</v>
      </c>
      <c r="F49" s="131">
        <f>D49/H49-1</f>
        <v>3.5870356882738541E-2</v>
      </c>
      <c r="G49" s="274">
        <f>G17</f>
        <v>3781</v>
      </c>
      <c r="H49" s="133">
        <f>H17</f>
        <v>5492</v>
      </c>
      <c r="I49" s="129">
        <f>I17</f>
        <v>11181</v>
      </c>
      <c r="J49" s="131">
        <f>I49/K49-1</f>
        <v>0.35757649344341913</v>
      </c>
      <c r="K49" s="276">
        <f>K17</f>
        <v>8236</v>
      </c>
      <c r="L49" s="13"/>
    </row>
    <row r="50" spans="2:12" ht="18.600000000000001" customHeight="1" thickBot="1">
      <c r="B50" s="138"/>
      <c r="C50" s="145" t="s">
        <v>345</v>
      </c>
      <c r="D50" s="139">
        <f>HLOOKUP(D5,국내2!C4:P53,42,0)</f>
        <v>2827</v>
      </c>
      <c r="E50" s="140">
        <f>D50/G50-1</f>
        <v>1.3896872358410821</v>
      </c>
      <c r="F50" s="141">
        <f>D50/H50-1</f>
        <v>0.39950495049504942</v>
      </c>
      <c r="G50" s="271">
        <f>HLOOKUP(G5,국내2!C58:P107,42,0)</f>
        <v>1183</v>
      </c>
      <c r="H50" s="143">
        <f>HLOOKUP(H5,국내2!C4:P53,42,0)</f>
        <v>2020</v>
      </c>
      <c r="I50" s="139">
        <f>국내2!P45</f>
        <v>4847</v>
      </c>
      <c r="J50" s="141">
        <f>I50/K50-1</f>
        <v>1.1667411712114437</v>
      </c>
      <c r="K50" s="272">
        <f>SUM(국내2!D99:E99)</f>
        <v>2237</v>
      </c>
      <c r="L50" s="13"/>
    </row>
    <row r="51" spans="2:12" s="300" customFormat="1" ht="6.75" customHeight="1" thickBot="1">
      <c r="B51" s="124"/>
      <c r="C51" s="301"/>
      <c r="D51" s="126"/>
      <c r="E51" s="127"/>
      <c r="F51" s="127"/>
      <c r="G51" s="128"/>
      <c r="H51" s="128"/>
      <c r="I51" s="126"/>
      <c r="J51" s="127"/>
      <c r="K51" s="128"/>
      <c r="L51" s="302"/>
    </row>
    <row r="52" spans="2:12" ht="18.600000000000001" customHeight="1">
      <c r="B52" s="693" t="s">
        <v>161</v>
      </c>
      <c r="C52" s="694"/>
      <c r="D52" s="129">
        <f>D18</f>
        <v>4745</v>
      </c>
      <c r="E52" s="130">
        <f>D52/G52-1</f>
        <v>-6.4907872696817748E-3</v>
      </c>
      <c r="F52" s="131">
        <f>D52/H52-1</f>
        <v>2.9060941227499359E-2</v>
      </c>
      <c r="G52" s="274">
        <f>G18</f>
        <v>4776</v>
      </c>
      <c r="H52" s="133">
        <f>H18</f>
        <v>4611</v>
      </c>
      <c r="I52" s="129">
        <f>I18</f>
        <v>9356</v>
      </c>
      <c r="J52" s="131">
        <f>I52/K52-1</f>
        <v>-4.9380207274944077E-2</v>
      </c>
      <c r="K52" s="276">
        <f>K18</f>
        <v>9842</v>
      </c>
      <c r="L52" s="13"/>
    </row>
    <row r="53" spans="2:12" ht="18.600000000000001" customHeight="1" thickBot="1">
      <c r="B53" s="138"/>
      <c r="C53" s="145" t="s">
        <v>162</v>
      </c>
      <c r="D53" s="139">
        <f>HLOOKUP(D5,국내2!C4:P53,46,0)</f>
        <v>2621</v>
      </c>
      <c r="E53" s="140">
        <f>D53/G53-1</f>
        <v>-0.25771736052109884</v>
      </c>
      <c r="F53" s="141">
        <f>D53/H53-1</f>
        <v>-7.5158786167960456E-2</v>
      </c>
      <c r="G53" s="271">
        <f>HLOOKUP(G5,국내2!C58:P107,46,0)</f>
        <v>3531</v>
      </c>
      <c r="H53" s="143">
        <f>HLOOKUP(H5,국내2!C4:P53,46,0)</f>
        <v>2834</v>
      </c>
      <c r="I53" s="139">
        <f>국내2!P49</f>
        <v>5455</v>
      </c>
      <c r="J53" s="141">
        <f>I53/K53-1</f>
        <v>-0.24779371207942635</v>
      </c>
      <c r="K53" s="272">
        <f>SUM(국내2!D103:E103)</f>
        <v>7252</v>
      </c>
      <c r="L53" s="13"/>
    </row>
    <row r="54" spans="2:12" ht="6.75" customHeight="1" thickBot="1"/>
    <row r="55" spans="2:12" ht="18.600000000000001" customHeight="1">
      <c r="B55" s="693" t="s">
        <v>155</v>
      </c>
      <c r="C55" s="694"/>
      <c r="D55" s="129">
        <f>D22</f>
        <v>8977</v>
      </c>
      <c r="E55" s="130">
        <f>D55/G55-1</f>
        <v>0.44093097913322632</v>
      </c>
      <c r="F55" s="131">
        <f>D55/H55-1</f>
        <v>1.5075418994413408</v>
      </c>
      <c r="G55" s="274">
        <f>G22</f>
        <v>6230</v>
      </c>
      <c r="H55" s="133">
        <f>H22</f>
        <v>3580</v>
      </c>
      <c r="I55" s="129">
        <f>I22</f>
        <v>12557</v>
      </c>
      <c r="J55" s="131">
        <f>I55/K55-1</f>
        <v>0.16809302325581399</v>
      </c>
      <c r="K55" s="276">
        <f>K22</f>
        <v>10750</v>
      </c>
    </row>
    <row r="56" spans="2:12" ht="18.600000000000001" customHeight="1" thickBot="1">
      <c r="B56" s="138"/>
      <c r="C56" s="145" t="s">
        <v>156</v>
      </c>
      <c r="D56" s="139">
        <f>HLOOKUP(D5,국내2!C4:P53,50,0)</f>
        <v>5025</v>
      </c>
      <c r="E56" s="140">
        <f>D56/G56-1</f>
        <v>0.73995844875346251</v>
      </c>
      <c r="F56" s="141">
        <f>D56/H56-1</f>
        <v>172.27586206896552</v>
      </c>
      <c r="G56" s="271">
        <f>HLOOKUP(G5,국내2!C58:P107,50,0)</f>
        <v>2888</v>
      </c>
      <c r="H56" s="143">
        <f>HLOOKUP(H5,국내2!C4:P53,50,0)</f>
        <v>29</v>
      </c>
      <c r="I56" s="139">
        <f>국내2!P53</f>
        <v>5054</v>
      </c>
      <c r="J56" s="141">
        <f>I56/K56-1</f>
        <v>0.67962778331671658</v>
      </c>
      <c r="K56" s="272">
        <f>SUM(국내2!D107:E107)</f>
        <v>3009</v>
      </c>
    </row>
    <row r="57" spans="2:12" ht="9.75" customHeight="1" thickBot="1"/>
    <row r="58" spans="2:12" ht="18.600000000000001" customHeight="1" thickBot="1">
      <c r="B58" s="673" t="s">
        <v>122</v>
      </c>
      <c r="C58" s="674"/>
      <c r="D58" s="265">
        <f>D37+D40+D42+D56+D53+D50+D46</f>
        <v>17880</v>
      </c>
      <c r="E58" s="267">
        <f>D58/G58-1</f>
        <v>0.25271491627548515</v>
      </c>
      <c r="F58" s="268">
        <f>D58/H58-1</f>
        <v>1.000895255147717</v>
      </c>
      <c r="G58" s="269">
        <f>G37+G40+G42+G56+G53+G50+G46</f>
        <v>14273</v>
      </c>
      <c r="H58" s="270">
        <f>H37+H40+H42+H56+H53+H50+H46</f>
        <v>8936</v>
      </c>
      <c r="I58" s="265">
        <f>I37+I40+I42+I56+I53+I50+I46</f>
        <v>26816</v>
      </c>
      <c r="J58" s="268">
        <f>I58/K58-1</f>
        <v>0.17577936598412758</v>
      </c>
      <c r="K58" s="266">
        <f>K37+K40+K42+K56+K53+K50+K46</f>
        <v>22807</v>
      </c>
    </row>
  </sheetData>
  <mergeCells count="17">
    <mergeCell ref="A1:J1"/>
    <mergeCell ref="B55:C55"/>
    <mergeCell ref="B52:C52"/>
    <mergeCell ref="B49:C49"/>
    <mergeCell ref="B46:C46"/>
    <mergeCell ref="B36:C36"/>
    <mergeCell ref="B39:C39"/>
    <mergeCell ref="B42:C42"/>
    <mergeCell ref="B58:C58"/>
    <mergeCell ref="M2:R2"/>
    <mergeCell ref="A4:C5"/>
    <mergeCell ref="A32:C32"/>
    <mergeCell ref="A31:C31"/>
    <mergeCell ref="B6:B13"/>
    <mergeCell ref="B14:B21"/>
    <mergeCell ref="A28:C28"/>
    <mergeCell ref="B22:B24"/>
  </mergeCells>
  <phoneticPr fontId="2" type="noConversion"/>
  <printOptions horizontalCentered="1" verticalCentered="1"/>
  <pageMargins left="0.47244094488188981" right="0.27559055118110237" top="0.47244094488188981" bottom="0.59055118110236227" header="0.39370078740157483" footer="0.51181102362204722"/>
  <pageSetup paperSize="9" scale="78" orientation="portrait" horizontalDpi="4294967295" r:id="rId1"/>
  <headerFooter alignWithMargins="0"/>
  <ignoredErrors>
    <ignoredError sqref="J13 J21 J28 H32 G13:H13 G21:H21 J36 J39 J42 J44 J52 J55 J58 J24" formula="1"/>
    <ignoredError sqref="F4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R914"/>
  <sheetViews>
    <sheetView showGridLines="0" view="pageBreakPreview" topLeftCell="A40" zoomScale="160" zoomScaleNormal="145" zoomScaleSheetLayoutView="160" workbookViewId="0">
      <pane xSplit="3" topLeftCell="D1" activePane="topRight" state="frozen"/>
      <selection pane="topRight" activeCell="I52" sqref="I52"/>
    </sheetView>
  </sheetViews>
  <sheetFormatPr defaultRowHeight="14.4"/>
  <cols>
    <col min="1" max="1" width="0.59765625" style="18" customWidth="1"/>
    <col min="2" max="2" width="2.3984375" style="18" customWidth="1"/>
    <col min="3" max="3" width="8.796875" style="18" bestFit="1" customWidth="1"/>
    <col min="4" max="15" width="6.796875" style="17" customWidth="1"/>
    <col min="16" max="16" width="7.796875" style="18" customWidth="1"/>
    <col min="17" max="17" width="7.8984375" customWidth="1"/>
  </cols>
  <sheetData>
    <row r="1" spans="2:16" s="14" customFormat="1" ht="13.2">
      <c r="B1" s="14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6" s="14" customFormat="1" ht="6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6" s="14" customFormat="1" ht="15" customHeight="1" thickBot="1">
      <c r="B3" s="146" t="s">
        <v>363</v>
      </c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2:16" s="14" customFormat="1" ht="15" customHeight="1" thickBot="1">
      <c r="B4" s="224"/>
      <c r="C4" s="225" t="s">
        <v>88</v>
      </c>
      <c r="D4" s="226">
        <v>1</v>
      </c>
      <c r="E4" s="227">
        <v>2</v>
      </c>
      <c r="F4" s="227">
        <v>3</v>
      </c>
      <c r="G4" s="227">
        <v>4</v>
      </c>
      <c r="H4" s="227">
        <v>5</v>
      </c>
      <c r="I4" s="227">
        <v>6</v>
      </c>
      <c r="J4" s="227">
        <v>7</v>
      </c>
      <c r="K4" s="227">
        <v>8</v>
      </c>
      <c r="L4" s="227">
        <v>9</v>
      </c>
      <c r="M4" s="227">
        <v>10</v>
      </c>
      <c r="N4" s="227">
        <v>11</v>
      </c>
      <c r="O4" s="227">
        <v>12</v>
      </c>
      <c r="P4" s="228" t="s">
        <v>6</v>
      </c>
    </row>
    <row r="5" spans="2:16" s="14" customFormat="1" ht="15" customHeight="1">
      <c r="B5" s="695" t="s">
        <v>369</v>
      </c>
      <c r="C5" s="576" t="s">
        <v>22</v>
      </c>
      <c r="D5" s="230">
        <v>1813</v>
      </c>
      <c r="E5" s="231">
        <v>2049</v>
      </c>
      <c r="F5" s="230"/>
      <c r="G5" s="231"/>
      <c r="H5" s="231"/>
      <c r="I5" s="231"/>
      <c r="J5" s="231"/>
      <c r="K5" s="231"/>
      <c r="L5" s="231"/>
      <c r="M5" s="231"/>
      <c r="N5" s="231"/>
      <c r="O5" s="231"/>
      <c r="P5" s="232">
        <f t="shared" ref="P5:P11" si="0">SUM(D5:O5)</f>
        <v>3862</v>
      </c>
    </row>
    <row r="6" spans="2:16" s="14" customFormat="1" ht="15" customHeight="1">
      <c r="B6" s="696"/>
      <c r="C6" s="576" t="s">
        <v>44</v>
      </c>
      <c r="D6" s="230">
        <v>3585</v>
      </c>
      <c r="E6" s="231">
        <v>4268</v>
      </c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2">
        <f t="shared" si="0"/>
        <v>7853</v>
      </c>
    </row>
    <row r="7" spans="2:16" s="14" customFormat="1" ht="15" customHeight="1">
      <c r="B7" s="696"/>
      <c r="C7" s="576" t="s">
        <v>48</v>
      </c>
      <c r="D7" s="230">
        <v>950</v>
      </c>
      <c r="E7" s="231">
        <v>1024</v>
      </c>
      <c r="F7" s="230"/>
      <c r="G7" s="231"/>
      <c r="H7" s="231"/>
      <c r="I7" s="231"/>
      <c r="J7" s="231"/>
      <c r="K7" s="231"/>
      <c r="L7" s="231"/>
      <c r="M7" s="231"/>
      <c r="N7" s="231"/>
      <c r="O7" s="231"/>
      <c r="P7" s="232">
        <f t="shared" si="0"/>
        <v>1974</v>
      </c>
    </row>
    <row r="8" spans="2:16" s="14" customFormat="1" ht="15" customHeight="1">
      <c r="B8" s="696"/>
      <c r="C8" s="576" t="s">
        <v>26</v>
      </c>
      <c r="D8" s="230">
        <v>2560</v>
      </c>
      <c r="E8" s="231">
        <v>2653</v>
      </c>
      <c r="F8" s="230"/>
      <c r="G8" s="231"/>
      <c r="H8" s="231"/>
      <c r="I8" s="231"/>
      <c r="J8" s="231"/>
      <c r="K8" s="231"/>
      <c r="L8" s="231"/>
      <c r="M8" s="231"/>
      <c r="N8" s="231"/>
      <c r="O8" s="231"/>
      <c r="P8" s="232">
        <f t="shared" si="0"/>
        <v>5213</v>
      </c>
    </row>
    <row r="9" spans="2:16" s="14" customFormat="1" ht="15" customHeight="1">
      <c r="B9" s="696"/>
      <c r="C9" s="576" t="s">
        <v>333</v>
      </c>
      <c r="D9" s="230">
        <v>3451</v>
      </c>
      <c r="E9" s="231">
        <v>4168</v>
      </c>
      <c r="F9" s="230"/>
      <c r="G9" s="231"/>
      <c r="H9" s="231"/>
      <c r="I9" s="231"/>
      <c r="J9" s="231"/>
      <c r="K9" s="231"/>
      <c r="L9" s="231"/>
      <c r="M9" s="231"/>
      <c r="N9" s="231"/>
      <c r="O9" s="231"/>
      <c r="P9" s="232">
        <f t="shared" si="0"/>
        <v>7619</v>
      </c>
    </row>
    <row r="10" spans="2:16" s="14" customFormat="1" ht="15" customHeight="1">
      <c r="B10" s="696"/>
      <c r="C10" s="576" t="s">
        <v>101</v>
      </c>
      <c r="D10" s="230">
        <v>113</v>
      </c>
      <c r="E10" s="231">
        <v>120</v>
      </c>
      <c r="F10" s="230"/>
      <c r="G10" s="231"/>
      <c r="H10" s="231"/>
      <c r="I10" s="231"/>
      <c r="J10" s="231"/>
      <c r="K10" s="231"/>
      <c r="L10" s="231"/>
      <c r="M10" s="231"/>
      <c r="N10" s="231"/>
      <c r="O10" s="231"/>
      <c r="P10" s="232">
        <f t="shared" si="0"/>
        <v>233</v>
      </c>
    </row>
    <row r="11" spans="2:16" s="14" customFormat="1" ht="15" customHeight="1">
      <c r="B11" s="696"/>
      <c r="C11" s="577" t="s">
        <v>46</v>
      </c>
      <c r="D11" s="234">
        <v>431</v>
      </c>
      <c r="E11" s="235">
        <v>301</v>
      </c>
      <c r="F11" s="230"/>
      <c r="G11" s="235"/>
      <c r="H11" s="235"/>
      <c r="I11" s="235"/>
      <c r="J11" s="235"/>
      <c r="K11" s="235"/>
      <c r="L11" s="235"/>
      <c r="M11" s="235"/>
      <c r="N11" s="235"/>
      <c r="O11" s="235"/>
      <c r="P11" s="232">
        <f t="shared" si="0"/>
        <v>732</v>
      </c>
    </row>
    <row r="12" spans="2:16" s="14" customFormat="1" ht="15" customHeight="1">
      <c r="B12" s="697"/>
      <c r="C12" s="550" t="s">
        <v>6</v>
      </c>
      <c r="D12" s="546">
        <f t="shared" ref="D12:P12" si="1">SUM(D5:D11)</f>
        <v>12903</v>
      </c>
      <c r="E12" s="546">
        <f t="shared" si="1"/>
        <v>14583</v>
      </c>
      <c r="F12" s="546">
        <f t="shared" si="1"/>
        <v>0</v>
      </c>
      <c r="G12" s="546">
        <f t="shared" si="1"/>
        <v>0</v>
      </c>
      <c r="H12" s="546">
        <f t="shared" si="1"/>
        <v>0</v>
      </c>
      <c r="I12" s="546">
        <f t="shared" si="1"/>
        <v>0</v>
      </c>
      <c r="J12" s="546">
        <f t="shared" si="1"/>
        <v>0</v>
      </c>
      <c r="K12" s="546">
        <f t="shared" si="1"/>
        <v>0</v>
      </c>
      <c r="L12" s="546">
        <f t="shared" si="1"/>
        <v>0</v>
      </c>
      <c r="M12" s="546">
        <f t="shared" si="1"/>
        <v>0</v>
      </c>
      <c r="N12" s="546">
        <f t="shared" si="1"/>
        <v>0</v>
      </c>
      <c r="O12" s="546">
        <f t="shared" si="1"/>
        <v>0</v>
      </c>
      <c r="P12" s="547">
        <f t="shared" si="1"/>
        <v>27486</v>
      </c>
    </row>
    <row r="13" spans="2:16" s="14" customFormat="1" ht="15" customHeight="1">
      <c r="B13" s="698" t="s">
        <v>12</v>
      </c>
      <c r="C13" s="576" t="s">
        <v>86</v>
      </c>
      <c r="D13" s="230">
        <v>1269</v>
      </c>
      <c r="E13" s="231">
        <v>1880</v>
      </c>
      <c r="F13" s="230"/>
      <c r="G13" s="231"/>
      <c r="H13" s="231"/>
      <c r="I13" s="231"/>
      <c r="J13" s="231"/>
      <c r="K13" s="231"/>
      <c r="L13" s="231"/>
      <c r="M13" s="231"/>
      <c r="N13" s="231"/>
      <c r="O13" s="231"/>
      <c r="P13" s="239">
        <f t="shared" ref="P13:P19" si="2">SUM(D13:O13)</f>
        <v>3149</v>
      </c>
    </row>
    <row r="14" spans="2:16" s="14" customFormat="1" ht="15" customHeight="1">
      <c r="B14" s="698"/>
      <c r="C14" s="576" t="s">
        <v>347</v>
      </c>
      <c r="D14" s="230">
        <v>0</v>
      </c>
      <c r="E14" s="231">
        <v>1951</v>
      </c>
      <c r="F14" s="230"/>
      <c r="G14" s="231"/>
      <c r="H14" s="231"/>
      <c r="I14" s="231"/>
      <c r="J14" s="231"/>
      <c r="K14" s="231"/>
      <c r="L14" s="231"/>
      <c r="M14" s="231"/>
      <c r="N14" s="231"/>
      <c r="O14" s="231"/>
      <c r="P14" s="239">
        <f t="shared" si="2"/>
        <v>1951</v>
      </c>
    </row>
    <row r="15" spans="2:16" s="14" customFormat="1" ht="15" customHeight="1">
      <c r="B15" s="698"/>
      <c r="C15" s="576" t="s">
        <v>134</v>
      </c>
      <c r="D15" s="230">
        <v>3366</v>
      </c>
      <c r="E15" s="231">
        <v>5552</v>
      </c>
      <c r="F15" s="230"/>
      <c r="G15" s="231"/>
      <c r="H15" s="231"/>
      <c r="I15" s="231"/>
      <c r="J15" s="231"/>
      <c r="K15" s="231"/>
      <c r="L15" s="231"/>
      <c r="M15" s="231"/>
      <c r="N15" s="231"/>
      <c r="O15" s="231"/>
      <c r="P15" s="239">
        <f t="shared" si="2"/>
        <v>8918</v>
      </c>
    </row>
    <row r="16" spans="2:16" s="14" customFormat="1" ht="15" customHeight="1">
      <c r="B16" s="698"/>
      <c r="C16" s="576" t="s">
        <v>73</v>
      </c>
      <c r="D16" s="230">
        <v>5492</v>
      </c>
      <c r="E16" s="231">
        <v>5689</v>
      </c>
      <c r="F16" s="230"/>
      <c r="G16" s="231"/>
      <c r="H16" s="231"/>
      <c r="I16" s="231"/>
      <c r="J16" s="231"/>
      <c r="K16" s="231"/>
      <c r="L16" s="231"/>
      <c r="M16" s="231"/>
      <c r="N16" s="231"/>
      <c r="O16" s="231"/>
      <c r="P16" s="239">
        <f t="shared" si="2"/>
        <v>11181</v>
      </c>
    </row>
    <row r="17" spans="2:16" s="14" customFormat="1" ht="15" customHeight="1">
      <c r="B17" s="698"/>
      <c r="C17" s="576" t="s">
        <v>83</v>
      </c>
      <c r="D17" s="230">
        <v>4611</v>
      </c>
      <c r="E17" s="231">
        <v>4745</v>
      </c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9">
        <f t="shared" si="2"/>
        <v>9356</v>
      </c>
    </row>
    <row r="18" spans="2:16" s="14" customFormat="1" ht="15" customHeight="1">
      <c r="B18" s="698"/>
      <c r="C18" s="576" t="s">
        <v>35</v>
      </c>
      <c r="D18" s="230">
        <v>482</v>
      </c>
      <c r="E18" s="231">
        <v>504</v>
      </c>
      <c r="F18" s="230"/>
      <c r="G18" s="231"/>
      <c r="H18" s="231"/>
      <c r="I18" s="231"/>
      <c r="J18" s="231"/>
      <c r="K18" s="231"/>
      <c r="L18" s="231"/>
      <c r="M18" s="231"/>
      <c r="N18" s="231"/>
      <c r="O18" s="231"/>
      <c r="P18" s="232">
        <f t="shared" si="2"/>
        <v>986</v>
      </c>
    </row>
    <row r="19" spans="2:16" s="14" customFormat="1" ht="15" customHeight="1">
      <c r="B19" s="698"/>
      <c r="C19" s="577" t="s">
        <v>30</v>
      </c>
      <c r="D19" s="234">
        <v>6904</v>
      </c>
      <c r="E19" s="235">
        <v>6039</v>
      </c>
      <c r="F19" s="230"/>
      <c r="G19" s="235"/>
      <c r="H19" s="235"/>
      <c r="I19" s="235"/>
      <c r="J19" s="235"/>
      <c r="K19" s="235"/>
      <c r="L19" s="235"/>
      <c r="M19" s="235"/>
      <c r="N19" s="235"/>
      <c r="O19" s="235"/>
      <c r="P19" s="232">
        <f t="shared" si="2"/>
        <v>12943</v>
      </c>
    </row>
    <row r="20" spans="2:16" s="14" customFormat="1" ht="15" customHeight="1" thickBot="1">
      <c r="B20" s="699"/>
      <c r="C20" s="549" t="s">
        <v>6</v>
      </c>
      <c r="D20" s="237">
        <f t="shared" ref="D20:P20" si="3">SUM(D13:D19)</f>
        <v>22124</v>
      </c>
      <c r="E20" s="237">
        <f t="shared" si="3"/>
        <v>26360</v>
      </c>
      <c r="F20" s="240">
        <f t="shared" si="3"/>
        <v>0</v>
      </c>
      <c r="G20" s="237">
        <f t="shared" si="3"/>
        <v>0</v>
      </c>
      <c r="H20" s="237">
        <f t="shared" si="3"/>
        <v>0</v>
      </c>
      <c r="I20" s="237">
        <f t="shared" si="3"/>
        <v>0</v>
      </c>
      <c r="J20" s="237">
        <f t="shared" si="3"/>
        <v>0</v>
      </c>
      <c r="K20" s="237">
        <f t="shared" si="3"/>
        <v>0</v>
      </c>
      <c r="L20" s="237">
        <f t="shared" si="3"/>
        <v>0</v>
      </c>
      <c r="M20" s="237">
        <f t="shared" si="3"/>
        <v>0</v>
      </c>
      <c r="N20" s="237">
        <f t="shared" si="3"/>
        <v>0</v>
      </c>
      <c r="O20" s="237">
        <f t="shared" si="3"/>
        <v>0</v>
      </c>
      <c r="P20" s="238">
        <f t="shared" si="3"/>
        <v>48484</v>
      </c>
    </row>
    <row r="21" spans="2:16" s="14" customFormat="1" ht="15" customHeight="1">
      <c r="B21" s="695" t="s">
        <v>365</v>
      </c>
      <c r="C21" s="578" t="s">
        <v>152</v>
      </c>
      <c r="D21" s="242">
        <v>3580</v>
      </c>
      <c r="E21" s="243">
        <v>8977</v>
      </c>
      <c r="F21" s="244"/>
      <c r="G21" s="243"/>
      <c r="H21" s="243"/>
      <c r="I21" s="243"/>
      <c r="J21" s="243"/>
      <c r="K21" s="243"/>
      <c r="L21" s="243"/>
      <c r="M21" s="243"/>
      <c r="N21" s="243"/>
      <c r="O21" s="243"/>
      <c r="P21" s="245">
        <f>SUM(D21:O21)</f>
        <v>12557</v>
      </c>
    </row>
    <row r="22" spans="2:16" s="14" customFormat="1" ht="15" customHeight="1">
      <c r="B22" s="696"/>
      <c r="C22" s="579" t="s">
        <v>38</v>
      </c>
      <c r="D22" s="247">
        <v>71</v>
      </c>
      <c r="E22" s="248">
        <v>96</v>
      </c>
      <c r="F22" s="230"/>
      <c r="G22" s="248"/>
      <c r="H22" s="248"/>
      <c r="I22" s="248"/>
      <c r="J22" s="248"/>
      <c r="K22" s="248"/>
      <c r="L22" s="248"/>
      <c r="M22" s="248"/>
      <c r="N22" s="248"/>
      <c r="O22" s="248"/>
      <c r="P22" s="249">
        <f>SUM(D22:O22)</f>
        <v>167</v>
      </c>
    </row>
    <row r="23" spans="2:16" s="14" customFormat="1" ht="15" customHeight="1" thickBot="1">
      <c r="B23" s="700"/>
      <c r="C23" s="548" t="s">
        <v>6</v>
      </c>
      <c r="D23" s="251">
        <f t="shared" ref="D23:P23" si="4">SUM(D21:D22)</f>
        <v>3651</v>
      </c>
      <c r="E23" s="251">
        <f t="shared" si="4"/>
        <v>9073</v>
      </c>
      <c r="F23" s="251">
        <f t="shared" si="4"/>
        <v>0</v>
      </c>
      <c r="G23" s="251">
        <f t="shared" si="4"/>
        <v>0</v>
      </c>
      <c r="H23" s="251">
        <f t="shared" si="4"/>
        <v>0</v>
      </c>
      <c r="I23" s="251">
        <f t="shared" si="4"/>
        <v>0</v>
      </c>
      <c r="J23" s="251">
        <f t="shared" si="4"/>
        <v>0</v>
      </c>
      <c r="K23" s="251">
        <f t="shared" si="4"/>
        <v>0</v>
      </c>
      <c r="L23" s="251">
        <f t="shared" si="4"/>
        <v>0</v>
      </c>
      <c r="M23" s="251">
        <f t="shared" si="4"/>
        <v>0</v>
      </c>
      <c r="N23" s="251">
        <f t="shared" si="4"/>
        <v>0</v>
      </c>
      <c r="O23" s="251">
        <f t="shared" si="4"/>
        <v>0</v>
      </c>
      <c r="P23" s="252">
        <f t="shared" si="4"/>
        <v>12724</v>
      </c>
    </row>
    <row r="24" spans="2:16" s="14" customFormat="1" ht="15" hidden="1" customHeight="1" thickBot="1">
      <c r="B24" s="701" t="s">
        <v>367</v>
      </c>
      <c r="C24" s="702"/>
      <c r="D24" s="253">
        <f>D12+D20+D23</f>
        <v>38678</v>
      </c>
      <c r="E24" s="253">
        <f t="shared" ref="E24:P24" si="5">E12+E20+E23</f>
        <v>50016</v>
      </c>
      <c r="F24" s="253">
        <f t="shared" si="5"/>
        <v>0</v>
      </c>
      <c r="G24" s="253">
        <f t="shared" si="5"/>
        <v>0</v>
      </c>
      <c r="H24" s="253">
        <f t="shared" si="5"/>
        <v>0</v>
      </c>
      <c r="I24" s="253">
        <f t="shared" si="5"/>
        <v>0</v>
      </c>
      <c r="J24" s="253">
        <f t="shared" si="5"/>
        <v>0</v>
      </c>
      <c r="K24" s="253">
        <f t="shared" si="5"/>
        <v>0</v>
      </c>
      <c r="L24" s="253">
        <f t="shared" si="5"/>
        <v>0</v>
      </c>
      <c r="M24" s="253">
        <f t="shared" si="5"/>
        <v>0</v>
      </c>
      <c r="N24" s="253">
        <f t="shared" si="5"/>
        <v>0</v>
      </c>
      <c r="O24" s="253">
        <f t="shared" si="5"/>
        <v>0</v>
      </c>
      <c r="P24" s="254">
        <f t="shared" si="5"/>
        <v>88694</v>
      </c>
    </row>
    <row r="25" spans="2:16" s="14" customFormat="1" ht="15" customHeight="1">
      <c r="B25" s="695" t="s">
        <v>39</v>
      </c>
      <c r="C25" s="578" t="s">
        <v>366</v>
      </c>
      <c r="D25" s="242">
        <v>0</v>
      </c>
      <c r="E25" s="243">
        <v>0</v>
      </c>
      <c r="F25" s="244"/>
      <c r="G25" s="243"/>
      <c r="H25" s="243"/>
      <c r="I25" s="243"/>
      <c r="J25" s="243"/>
      <c r="K25" s="243"/>
      <c r="L25" s="243"/>
      <c r="M25" s="243"/>
      <c r="N25" s="243"/>
      <c r="O25" s="243"/>
      <c r="P25" s="245">
        <f>SUM(D25:O25)</f>
        <v>0</v>
      </c>
    </row>
    <row r="26" spans="2:16" s="14" customFormat="1" ht="15" customHeight="1">
      <c r="B26" s="696"/>
      <c r="C26" s="579" t="s">
        <v>361</v>
      </c>
      <c r="D26" s="247">
        <v>75</v>
      </c>
      <c r="E26" s="248">
        <v>89</v>
      </c>
      <c r="F26" s="230"/>
      <c r="G26" s="248"/>
      <c r="H26" s="248"/>
      <c r="I26" s="248"/>
      <c r="J26" s="248"/>
      <c r="K26" s="248"/>
      <c r="L26" s="248"/>
      <c r="M26" s="248"/>
      <c r="N26" s="248"/>
      <c r="O26" s="248"/>
      <c r="P26" s="249">
        <f>SUM(D26:O26)</f>
        <v>164</v>
      </c>
    </row>
    <row r="27" spans="2:16" s="14" customFormat="1" ht="15" customHeight="1" thickBot="1">
      <c r="B27" s="700"/>
      <c r="C27" s="548" t="s">
        <v>6</v>
      </c>
      <c r="D27" s="544">
        <f>SUM(D25:D26)</f>
        <v>75</v>
      </c>
      <c r="E27" s="544">
        <f t="shared" ref="E27:P27" si="6">SUM(E25:E26)</f>
        <v>89</v>
      </c>
      <c r="F27" s="544">
        <f t="shared" si="6"/>
        <v>0</v>
      </c>
      <c r="G27" s="544">
        <f t="shared" si="6"/>
        <v>0</v>
      </c>
      <c r="H27" s="544">
        <f t="shared" si="6"/>
        <v>0</v>
      </c>
      <c r="I27" s="544">
        <f t="shared" si="6"/>
        <v>0</v>
      </c>
      <c r="J27" s="544">
        <f t="shared" si="6"/>
        <v>0</v>
      </c>
      <c r="K27" s="544">
        <f t="shared" si="6"/>
        <v>0</v>
      </c>
      <c r="L27" s="544">
        <f t="shared" si="6"/>
        <v>0</v>
      </c>
      <c r="M27" s="544">
        <f t="shared" si="6"/>
        <v>0</v>
      </c>
      <c r="N27" s="544">
        <f t="shared" si="6"/>
        <v>0</v>
      </c>
      <c r="O27" s="544">
        <f t="shared" si="6"/>
        <v>0</v>
      </c>
      <c r="P27" s="545">
        <f t="shared" si="6"/>
        <v>164</v>
      </c>
    </row>
    <row r="28" spans="2:16" s="14" customFormat="1" ht="15" customHeight="1" thickBot="1">
      <c r="B28" s="701" t="s">
        <v>40</v>
      </c>
      <c r="C28" s="702"/>
      <c r="D28" s="253">
        <f t="shared" ref="D28:P28" si="7">D12+D20+D23+D27</f>
        <v>38753</v>
      </c>
      <c r="E28" s="253">
        <f t="shared" si="7"/>
        <v>50105</v>
      </c>
      <c r="F28" s="253">
        <f t="shared" si="7"/>
        <v>0</v>
      </c>
      <c r="G28" s="253">
        <f t="shared" si="7"/>
        <v>0</v>
      </c>
      <c r="H28" s="253">
        <f t="shared" si="7"/>
        <v>0</v>
      </c>
      <c r="I28" s="253">
        <f t="shared" si="7"/>
        <v>0</v>
      </c>
      <c r="J28" s="253">
        <f t="shared" si="7"/>
        <v>0</v>
      </c>
      <c r="K28" s="253">
        <f t="shared" si="7"/>
        <v>0</v>
      </c>
      <c r="L28" s="253">
        <f t="shared" si="7"/>
        <v>0</v>
      </c>
      <c r="M28" s="253">
        <f t="shared" si="7"/>
        <v>0</v>
      </c>
      <c r="N28" s="253">
        <f t="shared" si="7"/>
        <v>0</v>
      </c>
      <c r="O28" s="253">
        <f t="shared" si="7"/>
        <v>0</v>
      </c>
      <c r="P28" s="254">
        <f t="shared" si="7"/>
        <v>88858</v>
      </c>
    </row>
    <row r="29" spans="2:16" s="14" customFormat="1" ht="15" customHeight="1">
      <c r="B29" s="176"/>
      <c r="C29" s="176"/>
      <c r="D29" s="75"/>
      <c r="E29" s="75"/>
      <c r="F29" s="75"/>
      <c r="G29" s="75"/>
      <c r="H29" s="75"/>
      <c r="I29" s="75"/>
      <c r="J29" s="75"/>
      <c r="K29" s="75"/>
      <c r="L29" s="75"/>
      <c r="M29" s="177"/>
      <c r="N29" s="177"/>
      <c r="O29" s="177"/>
      <c r="P29" s="75"/>
    </row>
    <row r="30" spans="2:16" s="14" customFormat="1" ht="15" customHeight="1">
      <c r="B30" s="178" t="s">
        <v>26</v>
      </c>
      <c r="C30" s="179"/>
      <c r="D30" s="180">
        <f t="shared" ref="D30:P30" si="8">D8</f>
        <v>2560</v>
      </c>
      <c r="E30" s="180">
        <f t="shared" si="8"/>
        <v>2653</v>
      </c>
      <c r="F30" s="180">
        <f t="shared" si="8"/>
        <v>0</v>
      </c>
      <c r="G30" s="180">
        <f t="shared" si="8"/>
        <v>0</v>
      </c>
      <c r="H30" s="180">
        <f t="shared" si="8"/>
        <v>0</v>
      </c>
      <c r="I30" s="180">
        <f t="shared" si="8"/>
        <v>0</v>
      </c>
      <c r="J30" s="180">
        <f t="shared" si="8"/>
        <v>0</v>
      </c>
      <c r="K30" s="180">
        <f t="shared" si="8"/>
        <v>0</v>
      </c>
      <c r="L30" s="180">
        <f t="shared" si="8"/>
        <v>0</v>
      </c>
      <c r="M30" s="180">
        <f t="shared" si="8"/>
        <v>0</v>
      </c>
      <c r="N30" s="180">
        <f t="shared" si="8"/>
        <v>0</v>
      </c>
      <c r="O30" s="180">
        <f t="shared" si="8"/>
        <v>0</v>
      </c>
      <c r="P30" s="180">
        <f t="shared" si="8"/>
        <v>5213</v>
      </c>
    </row>
    <row r="31" spans="2:16" s="14" customFormat="1" ht="15" customHeight="1">
      <c r="B31" s="185"/>
      <c r="C31" s="580" t="s">
        <v>136</v>
      </c>
      <c r="D31" s="183">
        <f t="shared" ref="D31:O31" si="9">D30-D32</f>
        <v>1759</v>
      </c>
      <c r="E31" s="183">
        <f t="shared" si="9"/>
        <v>1830</v>
      </c>
      <c r="F31" s="183">
        <f t="shared" si="9"/>
        <v>0</v>
      </c>
      <c r="G31" s="183">
        <f t="shared" si="9"/>
        <v>0</v>
      </c>
      <c r="H31" s="183">
        <f t="shared" si="9"/>
        <v>0</v>
      </c>
      <c r="I31" s="183">
        <f t="shared" si="9"/>
        <v>0</v>
      </c>
      <c r="J31" s="183">
        <f t="shared" si="9"/>
        <v>0</v>
      </c>
      <c r="K31" s="183">
        <f t="shared" si="9"/>
        <v>0</v>
      </c>
      <c r="L31" s="183">
        <f t="shared" si="9"/>
        <v>0</v>
      </c>
      <c r="M31" s="183">
        <f t="shared" si="9"/>
        <v>0</v>
      </c>
      <c r="N31" s="183">
        <f t="shared" si="9"/>
        <v>0</v>
      </c>
      <c r="O31" s="183">
        <f t="shared" si="9"/>
        <v>0</v>
      </c>
      <c r="P31" s="294">
        <f>SUM(D31:O31)</f>
        <v>3589</v>
      </c>
    </row>
    <row r="32" spans="2:16" s="14" customFormat="1" ht="15" customHeight="1">
      <c r="B32" s="186"/>
      <c r="C32" s="580" t="s">
        <v>137</v>
      </c>
      <c r="D32" s="183">
        <v>801</v>
      </c>
      <c r="E32" s="183">
        <v>823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294">
        <f>SUM(D32:O32)</f>
        <v>1624</v>
      </c>
    </row>
    <row r="33" spans="2:16" s="14" customFormat="1" ht="15" customHeight="1">
      <c r="B33" s="18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/>
    </row>
    <row r="34" spans="2:16" s="14" customFormat="1" ht="15" customHeight="1">
      <c r="B34" s="583" t="s">
        <v>335</v>
      </c>
      <c r="C34" s="582"/>
      <c r="D34" s="180">
        <f t="shared" ref="D34:P34" si="10">D9</f>
        <v>3451</v>
      </c>
      <c r="E34" s="180">
        <f t="shared" si="10"/>
        <v>4168</v>
      </c>
      <c r="F34" s="180">
        <f t="shared" si="10"/>
        <v>0</v>
      </c>
      <c r="G34" s="180">
        <f t="shared" si="10"/>
        <v>0</v>
      </c>
      <c r="H34" s="180">
        <f t="shared" si="10"/>
        <v>0</v>
      </c>
      <c r="I34" s="180">
        <f t="shared" si="10"/>
        <v>0</v>
      </c>
      <c r="J34" s="180">
        <f t="shared" si="10"/>
        <v>0</v>
      </c>
      <c r="K34" s="180">
        <f t="shared" si="10"/>
        <v>0</v>
      </c>
      <c r="L34" s="180">
        <f t="shared" si="10"/>
        <v>0</v>
      </c>
      <c r="M34" s="180">
        <f t="shared" si="10"/>
        <v>0</v>
      </c>
      <c r="N34" s="180">
        <f t="shared" si="10"/>
        <v>0</v>
      </c>
      <c r="O34" s="180">
        <f t="shared" si="10"/>
        <v>0</v>
      </c>
      <c r="P34" s="180">
        <f t="shared" si="10"/>
        <v>7619</v>
      </c>
    </row>
    <row r="35" spans="2:16" s="14" customFormat="1" ht="15" customHeight="1">
      <c r="B35" s="181"/>
      <c r="C35" s="581" t="s">
        <v>336</v>
      </c>
      <c r="D35" s="299">
        <f t="shared" ref="D35:O35" si="11">D34-D36</f>
        <v>1468</v>
      </c>
      <c r="E35" s="299">
        <f t="shared" si="11"/>
        <v>1415</v>
      </c>
      <c r="F35" s="299">
        <f t="shared" si="11"/>
        <v>0</v>
      </c>
      <c r="G35" s="299">
        <f t="shared" si="11"/>
        <v>0</v>
      </c>
      <c r="H35" s="299">
        <f t="shared" si="11"/>
        <v>0</v>
      </c>
      <c r="I35" s="299">
        <f t="shared" si="11"/>
        <v>0</v>
      </c>
      <c r="J35" s="299">
        <f t="shared" si="11"/>
        <v>0</v>
      </c>
      <c r="K35" s="299">
        <f t="shared" si="11"/>
        <v>0</v>
      </c>
      <c r="L35" s="299">
        <f t="shared" si="11"/>
        <v>0</v>
      </c>
      <c r="M35" s="299">
        <f t="shared" si="11"/>
        <v>0</v>
      </c>
      <c r="N35" s="299">
        <f t="shared" si="11"/>
        <v>0</v>
      </c>
      <c r="O35" s="299">
        <f t="shared" si="11"/>
        <v>0</v>
      </c>
      <c r="P35" s="299">
        <f>SUM(D35:O35)</f>
        <v>2883</v>
      </c>
    </row>
    <row r="36" spans="2:16" s="14" customFormat="1" ht="15" customHeight="1">
      <c r="B36" s="507"/>
      <c r="C36" s="581" t="s">
        <v>338</v>
      </c>
      <c r="D36" s="299">
        <v>1983</v>
      </c>
      <c r="E36" s="299">
        <v>2753</v>
      </c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>
        <f>SUM(D36:O36)</f>
        <v>4736</v>
      </c>
    </row>
    <row r="37" spans="2:16" s="14" customFormat="1" ht="15" customHeight="1">
      <c r="B37" s="18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90"/>
    </row>
    <row r="38" spans="2:16" s="14" customFormat="1" ht="15" customHeight="1">
      <c r="B38" s="178" t="s">
        <v>86</v>
      </c>
      <c r="C38" s="179"/>
      <c r="D38" s="180">
        <f t="shared" ref="D38:O38" si="12">D13</f>
        <v>1269</v>
      </c>
      <c r="E38" s="180">
        <f t="shared" si="12"/>
        <v>1880</v>
      </c>
      <c r="F38" s="180">
        <f t="shared" si="12"/>
        <v>0</v>
      </c>
      <c r="G38" s="180">
        <f t="shared" si="12"/>
        <v>0</v>
      </c>
      <c r="H38" s="180">
        <f t="shared" si="12"/>
        <v>0</v>
      </c>
      <c r="I38" s="180">
        <f t="shared" si="12"/>
        <v>0</v>
      </c>
      <c r="J38" s="180">
        <f t="shared" si="12"/>
        <v>0</v>
      </c>
      <c r="K38" s="180">
        <f t="shared" si="12"/>
        <v>0</v>
      </c>
      <c r="L38" s="180">
        <f t="shared" si="12"/>
        <v>0</v>
      </c>
      <c r="M38" s="180">
        <f t="shared" si="12"/>
        <v>0</v>
      </c>
      <c r="N38" s="180">
        <f t="shared" si="12"/>
        <v>0</v>
      </c>
      <c r="O38" s="180">
        <f t="shared" si="12"/>
        <v>0</v>
      </c>
      <c r="P38" s="180">
        <f>SUM(D38:O38)</f>
        <v>3149</v>
      </c>
    </row>
    <row r="39" spans="2:16" s="14" customFormat="1" ht="15" customHeight="1">
      <c r="B39" s="181"/>
      <c r="C39" s="580" t="s">
        <v>339</v>
      </c>
      <c r="D39" s="183">
        <f t="shared" ref="D39:O39" si="13">D38-D40-D41</f>
        <v>1268</v>
      </c>
      <c r="E39" s="183">
        <f t="shared" si="13"/>
        <v>1170</v>
      </c>
      <c r="F39" s="183">
        <f t="shared" si="13"/>
        <v>0</v>
      </c>
      <c r="G39" s="183">
        <f t="shared" si="13"/>
        <v>0</v>
      </c>
      <c r="H39" s="183">
        <f t="shared" si="13"/>
        <v>0</v>
      </c>
      <c r="I39" s="183">
        <f t="shared" si="13"/>
        <v>0</v>
      </c>
      <c r="J39" s="183">
        <f t="shared" si="13"/>
        <v>0</v>
      </c>
      <c r="K39" s="183">
        <f t="shared" si="13"/>
        <v>0</v>
      </c>
      <c r="L39" s="183">
        <f t="shared" si="13"/>
        <v>0</v>
      </c>
      <c r="M39" s="183">
        <f t="shared" si="13"/>
        <v>0</v>
      </c>
      <c r="N39" s="183">
        <f t="shared" si="13"/>
        <v>0</v>
      </c>
      <c r="O39" s="183">
        <f t="shared" si="13"/>
        <v>0</v>
      </c>
      <c r="P39" s="184">
        <f>SUM(D39:O39)</f>
        <v>2438</v>
      </c>
    </row>
    <row r="40" spans="2:16" s="14" customFormat="1" ht="15" customHeight="1">
      <c r="B40" s="185"/>
      <c r="C40" s="580" t="s">
        <v>118</v>
      </c>
      <c r="D40" s="183">
        <v>1</v>
      </c>
      <c r="E40" s="183">
        <v>418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4">
        <f>SUM(D40:O40)</f>
        <v>419</v>
      </c>
    </row>
    <row r="41" spans="2:16" s="14" customFormat="1" ht="15" customHeight="1">
      <c r="B41" s="186"/>
      <c r="C41" s="580" t="s">
        <v>360</v>
      </c>
      <c r="D41" s="183">
        <v>0</v>
      </c>
      <c r="E41" s="183">
        <v>292</v>
      </c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4">
        <f>SUM(D41:O41)</f>
        <v>292</v>
      </c>
    </row>
    <row r="42" spans="2:16" s="14" customFormat="1" ht="15" customHeight="1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6" s="14" customFormat="1" ht="15" customHeight="1">
      <c r="B43" s="178" t="s">
        <v>73</v>
      </c>
      <c r="C43" s="179"/>
      <c r="D43" s="180">
        <f t="shared" ref="D43:O43" si="14">D16</f>
        <v>5492</v>
      </c>
      <c r="E43" s="180">
        <f t="shared" si="14"/>
        <v>5689</v>
      </c>
      <c r="F43" s="180">
        <f t="shared" si="14"/>
        <v>0</v>
      </c>
      <c r="G43" s="180">
        <f t="shared" si="14"/>
        <v>0</v>
      </c>
      <c r="H43" s="180">
        <f t="shared" si="14"/>
        <v>0</v>
      </c>
      <c r="I43" s="180">
        <f t="shared" si="14"/>
        <v>0</v>
      </c>
      <c r="J43" s="180">
        <f t="shared" si="14"/>
        <v>0</v>
      </c>
      <c r="K43" s="180">
        <f t="shared" si="14"/>
        <v>0</v>
      </c>
      <c r="L43" s="180">
        <f t="shared" si="14"/>
        <v>0</v>
      </c>
      <c r="M43" s="180">
        <f t="shared" si="14"/>
        <v>0</v>
      </c>
      <c r="N43" s="180">
        <f t="shared" si="14"/>
        <v>0</v>
      </c>
      <c r="O43" s="180">
        <f t="shared" si="14"/>
        <v>0</v>
      </c>
      <c r="P43" s="180">
        <f>SUM(D43:O43)</f>
        <v>11181</v>
      </c>
    </row>
    <row r="44" spans="2:16" s="14" customFormat="1" ht="15" customHeight="1">
      <c r="B44" s="185"/>
      <c r="C44" s="580" t="s">
        <v>342</v>
      </c>
      <c r="D44" s="183">
        <f>D43-D45</f>
        <v>3472</v>
      </c>
      <c r="E44" s="183">
        <f t="shared" ref="E44:O44" si="15">E43-E45</f>
        <v>2862</v>
      </c>
      <c r="F44" s="183">
        <f t="shared" si="15"/>
        <v>0</v>
      </c>
      <c r="G44" s="183">
        <f t="shared" si="15"/>
        <v>0</v>
      </c>
      <c r="H44" s="183">
        <f t="shared" si="15"/>
        <v>0</v>
      </c>
      <c r="I44" s="183">
        <f t="shared" si="15"/>
        <v>0</v>
      </c>
      <c r="J44" s="183">
        <f t="shared" si="15"/>
        <v>0</v>
      </c>
      <c r="K44" s="183">
        <f t="shared" si="15"/>
        <v>0</v>
      </c>
      <c r="L44" s="183">
        <f t="shared" si="15"/>
        <v>0</v>
      </c>
      <c r="M44" s="183">
        <f t="shared" si="15"/>
        <v>0</v>
      </c>
      <c r="N44" s="183">
        <f t="shared" si="15"/>
        <v>0</v>
      </c>
      <c r="O44" s="183">
        <f t="shared" si="15"/>
        <v>0</v>
      </c>
      <c r="P44" s="184">
        <f>SUM(D44:O44)</f>
        <v>6334</v>
      </c>
    </row>
    <row r="45" spans="2:16" s="14" customFormat="1" ht="15" customHeight="1">
      <c r="B45" s="186"/>
      <c r="C45" s="580" t="s">
        <v>343</v>
      </c>
      <c r="D45" s="183">
        <v>2020</v>
      </c>
      <c r="E45" s="183">
        <v>2827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4">
        <f>SUM(D45:O45)</f>
        <v>4847</v>
      </c>
    </row>
    <row r="46" spans="2:16" s="14" customFormat="1" ht="15" customHeight="1">
      <c r="B46" s="297"/>
      <c r="C46" s="188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</row>
    <row r="47" spans="2:16" s="14" customFormat="1" ht="15" customHeight="1">
      <c r="B47" s="178" t="s">
        <v>83</v>
      </c>
      <c r="C47" s="179"/>
      <c r="D47" s="180">
        <f t="shared" ref="D47:O47" si="16">D17</f>
        <v>4611</v>
      </c>
      <c r="E47" s="180">
        <f t="shared" si="16"/>
        <v>4745</v>
      </c>
      <c r="F47" s="180">
        <f t="shared" si="16"/>
        <v>0</v>
      </c>
      <c r="G47" s="180">
        <f t="shared" si="16"/>
        <v>0</v>
      </c>
      <c r="H47" s="180">
        <f t="shared" si="16"/>
        <v>0</v>
      </c>
      <c r="I47" s="180">
        <f t="shared" si="16"/>
        <v>0</v>
      </c>
      <c r="J47" s="180">
        <f t="shared" si="16"/>
        <v>0</v>
      </c>
      <c r="K47" s="180">
        <f t="shared" si="16"/>
        <v>0</v>
      </c>
      <c r="L47" s="180">
        <f t="shared" si="16"/>
        <v>0</v>
      </c>
      <c r="M47" s="180">
        <f t="shared" si="16"/>
        <v>0</v>
      </c>
      <c r="N47" s="180">
        <f t="shared" si="16"/>
        <v>0</v>
      </c>
      <c r="O47" s="180">
        <f t="shared" si="16"/>
        <v>0</v>
      </c>
      <c r="P47" s="180">
        <f t="shared" ref="P47:P53" si="17">SUM(D47:O47)</f>
        <v>9356</v>
      </c>
    </row>
    <row r="48" spans="2:16" s="14" customFormat="1" ht="15" customHeight="1">
      <c r="B48" s="181"/>
      <c r="C48" s="580" t="s">
        <v>159</v>
      </c>
      <c r="D48" s="183">
        <f>D47-D49</f>
        <v>1777</v>
      </c>
      <c r="E48" s="183">
        <f t="shared" ref="E48:O48" si="18">E47-E49</f>
        <v>2124</v>
      </c>
      <c r="F48" s="183">
        <f t="shared" si="18"/>
        <v>0</v>
      </c>
      <c r="G48" s="183">
        <f t="shared" si="18"/>
        <v>0</v>
      </c>
      <c r="H48" s="183">
        <f t="shared" si="18"/>
        <v>0</v>
      </c>
      <c r="I48" s="183">
        <f t="shared" si="18"/>
        <v>0</v>
      </c>
      <c r="J48" s="183">
        <f t="shared" si="18"/>
        <v>0</v>
      </c>
      <c r="K48" s="183">
        <f t="shared" si="18"/>
        <v>0</v>
      </c>
      <c r="L48" s="183">
        <f t="shared" si="18"/>
        <v>0</v>
      </c>
      <c r="M48" s="183">
        <f t="shared" si="18"/>
        <v>0</v>
      </c>
      <c r="N48" s="183">
        <f t="shared" si="18"/>
        <v>0</v>
      </c>
      <c r="O48" s="183">
        <f t="shared" si="18"/>
        <v>0</v>
      </c>
      <c r="P48" s="184">
        <f t="shared" si="17"/>
        <v>3901</v>
      </c>
    </row>
    <row r="49" spans="2:16" s="14" customFormat="1" ht="15" customHeight="1">
      <c r="B49" s="186"/>
      <c r="C49" s="580" t="s">
        <v>160</v>
      </c>
      <c r="D49" s="183">
        <v>2834</v>
      </c>
      <c r="E49" s="183">
        <v>2621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4">
        <f t="shared" si="17"/>
        <v>5455</v>
      </c>
    </row>
    <row r="50" spans="2:16" s="14" customFormat="1" ht="15" customHeight="1">
      <c r="B50" s="297"/>
      <c r="C50" s="188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90">
        <f t="shared" si="17"/>
        <v>0</v>
      </c>
    </row>
    <row r="51" spans="2:16" s="14" customFormat="1" ht="15" customHeight="1">
      <c r="B51" s="178" t="s">
        <v>152</v>
      </c>
      <c r="C51" s="179"/>
      <c r="D51" s="180">
        <f t="shared" ref="D51:O51" si="19">D21</f>
        <v>3580</v>
      </c>
      <c r="E51" s="180">
        <f t="shared" si="19"/>
        <v>8977</v>
      </c>
      <c r="F51" s="180">
        <f t="shared" si="19"/>
        <v>0</v>
      </c>
      <c r="G51" s="180">
        <f t="shared" si="19"/>
        <v>0</v>
      </c>
      <c r="H51" s="180">
        <f t="shared" si="19"/>
        <v>0</v>
      </c>
      <c r="I51" s="180">
        <f t="shared" si="19"/>
        <v>0</v>
      </c>
      <c r="J51" s="180">
        <f t="shared" si="19"/>
        <v>0</v>
      </c>
      <c r="K51" s="180">
        <f t="shared" si="19"/>
        <v>0</v>
      </c>
      <c r="L51" s="180">
        <f t="shared" si="19"/>
        <v>0</v>
      </c>
      <c r="M51" s="180">
        <f t="shared" si="19"/>
        <v>0</v>
      </c>
      <c r="N51" s="180">
        <f t="shared" si="19"/>
        <v>0</v>
      </c>
      <c r="O51" s="180">
        <f t="shared" si="19"/>
        <v>0</v>
      </c>
      <c r="P51" s="180">
        <f t="shared" si="17"/>
        <v>12557</v>
      </c>
    </row>
    <row r="52" spans="2:16" s="14" customFormat="1" ht="15" customHeight="1">
      <c r="B52" s="181"/>
      <c r="C52" s="580" t="s">
        <v>152</v>
      </c>
      <c r="D52" s="183">
        <f>D51-D53</f>
        <v>3551</v>
      </c>
      <c r="E52" s="183">
        <f t="shared" ref="E52:O52" si="20">E51-E53</f>
        <v>3952</v>
      </c>
      <c r="F52" s="183">
        <f t="shared" si="20"/>
        <v>0</v>
      </c>
      <c r="G52" s="183">
        <f t="shared" si="20"/>
        <v>0</v>
      </c>
      <c r="H52" s="183">
        <f t="shared" si="20"/>
        <v>0</v>
      </c>
      <c r="I52" s="183">
        <f t="shared" si="20"/>
        <v>0</v>
      </c>
      <c r="J52" s="183">
        <f t="shared" si="20"/>
        <v>0</v>
      </c>
      <c r="K52" s="183">
        <f t="shared" si="20"/>
        <v>0</v>
      </c>
      <c r="L52" s="183">
        <f t="shared" si="20"/>
        <v>0</v>
      </c>
      <c r="M52" s="183">
        <f t="shared" si="20"/>
        <v>0</v>
      </c>
      <c r="N52" s="183">
        <f t="shared" si="20"/>
        <v>0</v>
      </c>
      <c r="O52" s="183">
        <f t="shared" si="20"/>
        <v>0</v>
      </c>
      <c r="P52" s="184">
        <f t="shared" si="17"/>
        <v>7503</v>
      </c>
    </row>
    <row r="53" spans="2:16" s="14" customFormat="1" ht="15" customHeight="1">
      <c r="B53" s="186"/>
      <c r="C53" s="580" t="s">
        <v>154</v>
      </c>
      <c r="D53" s="183">
        <v>29</v>
      </c>
      <c r="E53" s="183">
        <v>5025</v>
      </c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4">
        <f t="shared" si="17"/>
        <v>5054</v>
      </c>
    </row>
    <row r="54" spans="2:16" s="14" customFormat="1" ht="1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6" s="14" customFormat="1" ht="15" customHeight="1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6" s="14" customFormat="1" ht="6" customHeight="1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2:16" s="14" customFormat="1" ht="15" customHeight="1" thickBot="1">
      <c r="B57" s="146" t="s">
        <v>352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8"/>
    </row>
    <row r="58" spans="2:16" s="14" customFormat="1" ht="15" customHeight="1" thickBot="1">
      <c r="B58" s="224"/>
      <c r="C58" s="225" t="s">
        <v>88</v>
      </c>
      <c r="D58" s="226">
        <v>1</v>
      </c>
      <c r="E58" s="227">
        <v>2</v>
      </c>
      <c r="F58" s="227">
        <v>3</v>
      </c>
      <c r="G58" s="227">
        <v>4</v>
      </c>
      <c r="H58" s="227">
        <v>5</v>
      </c>
      <c r="I58" s="227">
        <v>6</v>
      </c>
      <c r="J58" s="227">
        <v>7</v>
      </c>
      <c r="K58" s="227">
        <v>8</v>
      </c>
      <c r="L58" s="227">
        <v>9</v>
      </c>
      <c r="M58" s="227">
        <v>10</v>
      </c>
      <c r="N58" s="227">
        <v>11</v>
      </c>
      <c r="O58" s="227">
        <v>12</v>
      </c>
      <c r="P58" s="228" t="s">
        <v>6</v>
      </c>
    </row>
    <row r="59" spans="2:16" s="14" customFormat="1" ht="15" customHeight="1">
      <c r="B59" s="695" t="s">
        <v>11</v>
      </c>
      <c r="C59" s="576" t="s">
        <v>22</v>
      </c>
      <c r="D59" s="230">
        <v>1534</v>
      </c>
      <c r="E59" s="231">
        <v>1700</v>
      </c>
      <c r="F59" s="230">
        <v>3559</v>
      </c>
      <c r="G59" s="231">
        <v>2790</v>
      </c>
      <c r="H59" s="231">
        <v>2258</v>
      </c>
      <c r="I59" s="231">
        <v>2414</v>
      </c>
      <c r="J59" s="231">
        <v>3278</v>
      </c>
      <c r="K59" s="231">
        <v>2153</v>
      </c>
      <c r="L59" s="231">
        <v>1940</v>
      </c>
      <c r="M59" s="231">
        <v>2246</v>
      </c>
      <c r="N59" s="231">
        <v>3356</v>
      </c>
      <c r="O59" s="231">
        <v>2152</v>
      </c>
      <c r="P59" s="232">
        <f t="shared" ref="P59:P65" si="21">SUM(D59:O59)</f>
        <v>29380</v>
      </c>
    </row>
    <row r="60" spans="2:16" s="14" customFormat="1" ht="15" customHeight="1">
      <c r="B60" s="696"/>
      <c r="C60" s="576" t="s">
        <v>44</v>
      </c>
      <c r="D60" s="230">
        <v>3598</v>
      </c>
      <c r="E60" s="231">
        <v>3218</v>
      </c>
      <c r="F60" s="230">
        <v>3566</v>
      </c>
      <c r="G60" s="231">
        <v>3993</v>
      </c>
      <c r="H60" s="231">
        <v>3788</v>
      </c>
      <c r="I60" s="231">
        <v>3812</v>
      </c>
      <c r="J60" s="231">
        <v>4125</v>
      </c>
      <c r="K60" s="231">
        <v>2836</v>
      </c>
      <c r="L60" s="231">
        <v>3860</v>
      </c>
      <c r="M60" s="231">
        <v>3363</v>
      </c>
      <c r="N60" s="231">
        <v>4098</v>
      </c>
      <c r="O60" s="231">
        <v>4309</v>
      </c>
      <c r="P60" s="232">
        <f t="shared" si="21"/>
        <v>44566</v>
      </c>
    </row>
    <row r="61" spans="2:16" s="14" customFormat="1" ht="15" customHeight="1">
      <c r="B61" s="696"/>
      <c r="C61" s="576" t="s">
        <v>48</v>
      </c>
      <c r="D61" s="230">
        <v>1792</v>
      </c>
      <c r="E61" s="231">
        <v>1573</v>
      </c>
      <c r="F61" s="230">
        <v>2020</v>
      </c>
      <c r="G61" s="231">
        <v>2351</v>
      </c>
      <c r="H61" s="231">
        <v>1726</v>
      </c>
      <c r="I61" s="231">
        <v>1610</v>
      </c>
      <c r="J61" s="231">
        <v>2468</v>
      </c>
      <c r="K61" s="231">
        <v>800</v>
      </c>
      <c r="L61" s="231">
        <v>838</v>
      </c>
      <c r="M61" s="231">
        <v>1500</v>
      </c>
      <c r="N61" s="231">
        <v>2114</v>
      </c>
      <c r="O61" s="231">
        <v>2229</v>
      </c>
      <c r="P61" s="232">
        <f t="shared" si="21"/>
        <v>21021</v>
      </c>
    </row>
    <row r="62" spans="2:16" s="14" customFormat="1" ht="15" customHeight="1">
      <c r="B62" s="696"/>
      <c r="C62" s="576" t="s">
        <v>26</v>
      </c>
      <c r="D62" s="230">
        <v>3342</v>
      </c>
      <c r="E62" s="231">
        <v>2562</v>
      </c>
      <c r="F62" s="230">
        <v>2642</v>
      </c>
      <c r="G62" s="231">
        <v>2624</v>
      </c>
      <c r="H62" s="231">
        <v>2618</v>
      </c>
      <c r="I62" s="231">
        <v>2352</v>
      </c>
      <c r="J62" s="231">
        <v>2859</v>
      </c>
      <c r="K62" s="231">
        <v>2155</v>
      </c>
      <c r="L62" s="231">
        <v>2055</v>
      </c>
      <c r="M62" s="231">
        <v>2514</v>
      </c>
      <c r="N62" s="231">
        <v>3208</v>
      </c>
      <c r="O62" s="231">
        <v>2567</v>
      </c>
      <c r="P62" s="232">
        <f t="shared" si="21"/>
        <v>31498</v>
      </c>
    </row>
    <row r="63" spans="2:16" s="14" customFormat="1" ht="15" customHeight="1">
      <c r="B63" s="696"/>
      <c r="C63" s="576" t="s">
        <v>333</v>
      </c>
      <c r="D63" s="230">
        <v>2566</v>
      </c>
      <c r="E63" s="231">
        <v>2932</v>
      </c>
      <c r="F63" s="230">
        <v>2722</v>
      </c>
      <c r="G63" s="231">
        <v>4176</v>
      </c>
      <c r="H63" s="231">
        <v>3636</v>
      </c>
      <c r="I63" s="231">
        <v>4012</v>
      </c>
      <c r="J63" s="231">
        <v>4807</v>
      </c>
      <c r="K63" s="231">
        <v>4257</v>
      </c>
      <c r="L63" s="231">
        <v>3990</v>
      </c>
      <c r="M63" s="231">
        <v>3613</v>
      </c>
      <c r="N63" s="231">
        <v>3867</v>
      </c>
      <c r="O63" s="231">
        <v>5072</v>
      </c>
      <c r="P63" s="232">
        <f t="shared" si="21"/>
        <v>45650</v>
      </c>
    </row>
    <row r="64" spans="2:16" s="14" customFormat="1" ht="15" customHeight="1">
      <c r="B64" s="696"/>
      <c r="C64" s="576" t="s">
        <v>101</v>
      </c>
      <c r="D64" s="230">
        <v>166</v>
      </c>
      <c r="E64" s="231">
        <v>164</v>
      </c>
      <c r="F64" s="230">
        <v>218</v>
      </c>
      <c r="G64" s="231">
        <v>235</v>
      </c>
      <c r="H64" s="231">
        <v>206</v>
      </c>
      <c r="I64" s="231">
        <v>184</v>
      </c>
      <c r="J64" s="231">
        <v>112</v>
      </c>
      <c r="K64" s="231">
        <v>157</v>
      </c>
      <c r="L64" s="231">
        <v>57</v>
      </c>
      <c r="M64" s="231">
        <v>184</v>
      </c>
      <c r="N64" s="231">
        <v>193</v>
      </c>
      <c r="O64" s="231">
        <v>108</v>
      </c>
      <c r="P64" s="232">
        <f t="shared" si="21"/>
        <v>1984</v>
      </c>
    </row>
    <row r="65" spans="2:16" s="14" customFormat="1" ht="15" customHeight="1">
      <c r="B65" s="696"/>
      <c r="C65" s="577" t="s">
        <v>46</v>
      </c>
      <c r="D65" s="234">
        <v>487</v>
      </c>
      <c r="E65" s="235">
        <v>537</v>
      </c>
      <c r="F65" s="230">
        <v>1001</v>
      </c>
      <c r="G65" s="235">
        <v>664</v>
      </c>
      <c r="H65" s="235">
        <v>419</v>
      </c>
      <c r="I65" s="235">
        <v>453</v>
      </c>
      <c r="J65" s="235">
        <v>567</v>
      </c>
      <c r="K65" s="235">
        <v>602</v>
      </c>
      <c r="L65" s="235">
        <v>260</v>
      </c>
      <c r="M65" s="235">
        <v>371</v>
      </c>
      <c r="N65" s="235">
        <v>620</v>
      </c>
      <c r="O65" s="235">
        <v>604</v>
      </c>
      <c r="P65" s="232">
        <f t="shared" si="21"/>
        <v>6585</v>
      </c>
    </row>
    <row r="66" spans="2:16" s="14" customFormat="1" ht="15" customHeight="1">
      <c r="B66" s="697"/>
      <c r="C66" s="550" t="s">
        <v>6</v>
      </c>
      <c r="D66" s="546">
        <f t="shared" ref="D66:P66" si="22">SUM(D59:D65)</f>
        <v>13485</v>
      </c>
      <c r="E66" s="546">
        <f t="shared" si="22"/>
        <v>12686</v>
      </c>
      <c r="F66" s="546">
        <f t="shared" si="22"/>
        <v>15728</v>
      </c>
      <c r="G66" s="546">
        <f t="shared" si="22"/>
        <v>16833</v>
      </c>
      <c r="H66" s="546">
        <f t="shared" si="22"/>
        <v>14651</v>
      </c>
      <c r="I66" s="546">
        <f t="shared" si="22"/>
        <v>14837</v>
      </c>
      <c r="J66" s="546">
        <f t="shared" si="22"/>
        <v>18216</v>
      </c>
      <c r="K66" s="546">
        <f t="shared" si="22"/>
        <v>12960</v>
      </c>
      <c r="L66" s="546">
        <f t="shared" si="22"/>
        <v>13000</v>
      </c>
      <c r="M66" s="546">
        <f t="shared" si="22"/>
        <v>13791</v>
      </c>
      <c r="N66" s="546">
        <f t="shared" si="22"/>
        <v>17456</v>
      </c>
      <c r="O66" s="546">
        <f t="shared" si="22"/>
        <v>17041</v>
      </c>
      <c r="P66" s="547">
        <f t="shared" si="22"/>
        <v>180684</v>
      </c>
    </row>
    <row r="67" spans="2:16" s="14" customFormat="1" ht="15" customHeight="1">
      <c r="B67" s="753" t="s">
        <v>12</v>
      </c>
      <c r="C67" s="576" t="s">
        <v>86</v>
      </c>
      <c r="D67" s="230">
        <v>1224</v>
      </c>
      <c r="E67" s="231">
        <v>2569</v>
      </c>
      <c r="F67" s="230">
        <v>2413</v>
      </c>
      <c r="G67" s="231">
        <v>3613</v>
      </c>
      <c r="H67" s="231">
        <v>2890</v>
      </c>
      <c r="I67" s="231">
        <v>3821</v>
      </c>
      <c r="J67" s="231">
        <v>2878</v>
      </c>
      <c r="K67" s="231">
        <v>2321</v>
      </c>
      <c r="L67" s="231">
        <v>2361</v>
      </c>
      <c r="M67" s="231">
        <v>1642</v>
      </c>
      <c r="N67" s="231">
        <v>1998</v>
      </c>
      <c r="O67" s="231">
        <v>1761</v>
      </c>
      <c r="P67" s="239">
        <f t="shared" ref="P67:P73" si="23">SUM(D67:O67)</f>
        <v>29491</v>
      </c>
    </row>
    <row r="68" spans="2:16" s="14" customFormat="1" ht="15" customHeight="1">
      <c r="B68" s="698"/>
      <c r="C68" s="576" t="s">
        <v>347</v>
      </c>
      <c r="D68" s="230">
        <v>115</v>
      </c>
      <c r="E68" s="231">
        <v>1706</v>
      </c>
      <c r="F68" s="230">
        <v>2689</v>
      </c>
      <c r="G68" s="231">
        <v>2976</v>
      </c>
      <c r="H68" s="231">
        <v>2864</v>
      </c>
      <c r="I68" s="231">
        <v>1808</v>
      </c>
      <c r="J68" s="231">
        <v>3049</v>
      </c>
      <c r="K68" s="231">
        <v>1672</v>
      </c>
      <c r="L68" s="231">
        <v>2281</v>
      </c>
      <c r="M68" s="231">
        <v>2175</v>
      </c>
      <c r="N68" s="231">
        <v>2280</v>
      </c>
      <c r="O68" s="231">
        <v>1237</v>
      </c>
      <c r="P68" s="239">
        <f t="shared" si="23"/>
        <v>24852</v>
      </c>
    </row>
    <row r="69" spans="2:16" s="14" customFormat="1" ht="15" customHeight="1">
      <c r="B69" s="698"/>
      <c r="C69" s="576" t="s">
        <v>134</v>
      </c>
      <c r="D69" s="230">
        <v>3468</v>
      </c>
      <c r="E69" s="231">
        <v>3538</v>
      </c>
      <c r="F69" s="230">
        <v>4266</v>
      </c>
      <c r="G69" s="231">
        <v>3364</v>
      </c>
      <c r="H69" s="231">
        <v>2863</v>
      </c>
      <c r="I69" s="231">
        <v>3261</v>
      </c>
      <c r="J69" s="231">
        <v>4120</v>
      </c>
      <c r="K69" s="231">
        <v>3610</v>
      </c>
      <c r="L69" s="231">
        <v>3513</v>
      </c>
      <c r="M69" s="231">
        <v>3150</v>
      </c>
      <c r="N69" s="231">
        <v>3449</v>
      </c>
      <c r="O69" s="231">
        <v>4493</v>
      </c>
      <c r="P69" s="239">
        <f t="shared" si="23"/>
        <v>43095</v>
      </c>
    </row>
    <row r="70" spans="2:16" s="14" customFormat="1" ht="15" customHeight="1">
      <c r="B70" s="698"/>
      <c r="C70" s="576" t="s">
        <v>73</v>
      </c>
      <c r="D70" s="230">
        <v>4455</v>
      </c>
      <c r="E70" s="231">
        <v>3781</v>
      </c>
      <c r="F70" s="230">
        <v>4919</v>
      </c>
      <c r="G70" s="231">
        <v>4556</v>
      </c>
      <c r="H70" s="231">
        <v>4542</v>
      </c>
      <c r="I70" s="231">
        <v>4513</v>
      </c>
      <c r="J70" s="231">
        <v>3406</v>
      </c>
      <c r="K70" s="231">
        <v>3873</v>
      </c>
      <c r="L70" s="231">
        <v>4441</v>
      </c>
      <c r="M70" s="231">
        <v>4950</v>
      </c>
      <c r="N70" s="231">
        <v>5762</v>
      </c>
      <c r="O70" s="231">
        <v>6196</v>
      </c>
      <c r="P70" s="239">
        <f t="shared" si="23"/>
        <v>55394</v>
      </c>
    </row>
    <row r="71" spans="2:16" s="14" customFormat="1" ht="15" customHeight="1">
      <c r="B71" s="698"/>
      <c r="C71" s="576" t="s">
        <v>83</v>
      </c>
      <c r="D71" s="230">
        <v>5066</v>
      </c>
      <c r="E71" s="231">
        <v>4776</v>
      </c>
      <c r="F71" s="230">
        <v>5435</v>
      </c>
      <c r="G71" s="231">
        <v>5551</v>
      </c>
      <c r="H71" s="231">
        <v>5356</v>
      </c>
      <c r="I71" s="231">
        <v>5593</v>
      </c>
      <c r="J71" s="231">
        <v>6940</v>
      </c>
      <c r="K71" s="231">
        <v>5674</v>
      </c>
      <c r="L71" s="231">
        <v>5335</v>
      </c>
      <c r="M71" s="231">
        <v>5127</v>
      </c>
      <c r="N71" s="231">
        <v>6656</v>
      </c>
      <c r="O71" s="231">
        <v>7393</v>
      </c>
      <c r="P71" s="239">
        <f t="shared" si="23"/>
        <v>68902</v>
      </c>
    </row>
    <row r="72" spans="2:16" s="14" customFormat="1" ht="15" customHeight="1">
      <c r="B72" s="698"/>
      <c r="C72" s="576" t="s">
        <v>35</v>
      </c>
      <c r="D72" s="230">
        <v>406</v>
      </c>
      <c r="E72" s="231">
        <v>950</v>
      </c>
      <c r="F72" s="230">
        <v>852</v>
      </c>
      <c r="G72" s="231">
        <v>1497</v>
      </c>
      <c r="H72" s="231">
        <v>1208</v>
      </c>
      <c r="I72" s="231">
        <v>1095</v>
      </c>
      <c r="J72" s="231">
        <v>1125</v>
      </c>
      <c r="K72" s="231">
        <v>1114</v>
      </c>
      <c r="L72" s="231">
        <v>1166</v>
      </c>
      <c r="M72" s="231">
        <v>980</v>
      </c>
      <c r="N72" s="231">
        <v>698</v>
      </c>
      <c r="O72" s="231">
        <v>542</v>
      </c>
      <c r="P72" s="232">
        <f t="shared" si="23"/>
        <v>11633</v>
      </c>
    </row>
    <row r="73" spans="2:16" s="14" customFormat="1" ht="15" customHeight="1">
      <c r="B73" s="698"/>
      <c r="C73" s="577" t="s">
        <v>30</v>
      </c>
      <c r="D73" s="234">
        <v>4114</v>
      </c>
      <c r="E73" s="235">
        <v>3127</v>
      </c>
      <c r="F73" s="230">
        <v>4065</v>
      </c>
      <c r="G73" s="235">
        <v>5121</v>
      </c>
      <c r="H73" s="235">
        <v>5485</v>
      </c>
      <c r="I73" s="235">
        <v>5590</v>
      </c>
      <c r="J73" s="235">
        <v>4901</v>
      </c>
      <c r="K73" s="235">
        <v>4535</v>
      </c>
      <c r="L73" s="235">
        <v>2228</v>
      </c>
      <c r="M73" s="235">
        <v>5004</v>
      </c>
      <c r="N73" s="235">
        <v>7565</v>
      </c>
      <c r="O73" s="235">
        <v>7323</v>
      </c>
      <c r="P73" s="232">
        <f t="shared" si="23"/>
        <v>59058</v>
      </c>
    </row>
    <row r="74" spans="2:16" s="14" customFormat="1" ht="15" customHeight="1" thickBot="1">
      <c r="B74" s="699"/>
      <c r="C74" s="549" t="s">
        <v>6</v>
      </c>
      <c r="D74" s="237">
        <f t="shared" ref="D74:P74" si="24">SUM(D67:D73)</f>
        <v>18848</v>
      </c>
      <c r="E74" s="237">
        <f t="shared" si="24"/>
        <v>20447</v>
      </c>
      <c r="F74" s="240">
        <f t="shared" si="24"/>
        <v>24639</v>
      </c>
      <c r="G74" s="237">
        <f t="shared" si="24"/>
        <v>26678</v>
      </c>
      <c r="H74" s="237">
        <f t="shared" si="24"/>
        <v>25208</v>
      </c>
      <c r="I74" s="237">
        <f t="shared" si="24"/>
        <v>25681</v>
      </c>
      <c r="J74" s="237">
        <f t="shared" si="24"/>
        <v>26419</v>
      </c>
      <c r="K74" s="237">
        <f t="shared" si="24"/>
        <v>22799</v>
      </c>
      <c r="L74" s="237">
        <f t="shared" si="24"/>
        <v>21325</v>
      </c>
      <c r="M74" s="237">
        <f t="shared" si="24"/>
        <v>23028</v>
      </c>
      <c r="N74" s="237">
        <f t="shared" si="24"/>
        <v>28408</v>
      </c>
      <c r="O74" s="237">
        <f t="shared" si="24"/>
        <v>28945</v>
      </c>
      <c r="P74" s="238">
        <f t="shared" si="24"/>
        <v>292425</v>
      </c>
    </row>
    <row r="75" spans="2:16" s="14" customFormat="1" ht="15" customHeight="1">
      <c r="B75" s="695" t="s">
        <v>365</v>
      </c>
      <c r="C75" s="578" t="s">
        <v>152</v>
      </c>
      <c r="D75" s="242">
        <v>4520</v>
      </c>
      <c r="E75" s="243">
        <v>6230</v>
      </c>
      <c r="F75" s="244">
        <v>4608</v>
      </c>
      <c r="G75" s="243">
        <v>6402</v>
      </c>
      <c r="H75" s="243">
        <v>5655</v>
      </c>
      <c r="I75" s="243">
        <v>4386</v>
      </c>
      <c r="J75" s="243">
        <v>6407</v>
      </c>
      <c r="K75" s="243">
        <v>5389</v>
      </c>
      <c r="L75" s="243">
        <v>5303</v>
      </c>
      <c r="M75" s="243">
        <v>5872</v>
      </c>
      <c r="N75" s="243">
        <v>5951</v>
      </c>
      <c r="O75" s="243">
        <v>4103</v>
      </c>
      <c r="P75" s="245">
        <f>SUM(D75:O75)</f>
        <v>64826</v>
      </c>
    </row>
    <row r="76" spans="2:16" s="14" customFormat="1" ht="15" customHeight="1">
      <c r="B76" s="696"/>
      <c r="C76" s="579" t="s">
        <v>38</v>
      </c>
      <c r="D76" s="247">
        <v>62</v>
      </c>
      <c r="E76" s="248">
        <v>50</v>
      </c>
      <c r="F76" s="230">
        <v>50</v>
      </c>
      <c r="G76" s="248">
        <v>56</v>
      </c>
      <c r="H76" s="248">
        <v>63</v>
      </c>
      <c r="I76" s="248">
        <v>112</v>
      </c>
      <c r="J76" s="248">
        <v>78</v>
      </c>
      <c r="K76" s="248">
        <v>92</v>
      </c>
      <c r="L76" s="248">
        <v>106</v>
      </c>
      <c r="M76" s="248">
        <v>90</v>
      </c>
      <c r="N76" s="248">
        <v>64</v>
      </c>
      <c r="O76" s="248">
        <v>64</v>
      </c>
      <c r="P76" s="249">
        <f>SUM(D76:O76)</f>
        <v>887</v>
      </c>
    </row>
    <row r="77" spans="2:16" s="14" customFormat="1" ht="15" customHeight="1" thickBot="1">
      <c r="B77" s="700"/>
      <c r="C77" s="548" t="s">
        <v>6</v>
      </c>
      <c r="D77" s="251">
        <f t="shared" ref="D77:P77" si="25">SUM(D75:D76)</f>
        <v>4582</v>
      </c>
      <c r="E77" s="251">
        <f t="shared" si="25"/>
        <v>6280</v>
      </c>
      <c r="F77" s="251">
        <f t="shared" si="25"/>
        <v>4658</v>
      </c>
      <c r="G77" s="251">
        <f t="shared" si="25"/>
        <v>6458</v>
      </c>
      <c r="H77" s="251">
        <f t="shared" si="25"/>
        <v>5718</v>
      </c>
      <c r="I77" s="251">
        <f t="shared" si="25"/>
        <v>4498</v>
      </c>
      <c r="J77" s="251">
        <f t="shared" si="25"/>
        <v>6485</v>
      </c>
      <c r="K77" s="251">
        <f t="shared" si="25"/>
        <v>5481</v>
      </c>
      <c r="L77" s="251">
        <f t="shared" si="25"/>
        <v>5409</v>
      </c>
      <c r="M77" s="251">
        <f t="shared" si="25"/>
        <v>5962</v>
      </c>
      <c r="N77" s="251">
        <f t="shared" si="25"/>
        <v>6015</v>
      </c>
      <c r="O77" s="251">
        <f t="shared" si="25"/>
        <v>4167</v>
      </c>
      <c r="P77" s="252">
        <f t="shared" si="25"/>
        <v>65713</v>
      </c>
    </row>
    <row r="78" spans="2:16" s="14" customFormat="1" ht="15" hidden="1" customHeight="1" thickBot="1">
      <c r="B78" s="701" t="s">
        <v>367</v>
      </c>
      <c r="C78" s="702"/>
      <c r="D78" s="253">
        <f>D66+D74+D77</f>
        <v>36915</v>
      </c>
      <c r="E78" s="253">
        <f t="shared" ref="E78" si="26">E66+E74+E77</f>
        <v>39413</v>
      </c>
      <c r="F78" s="253">
        <f t="shared" ref="F78" si="27">F66+F74+F77</f>
        <v>45025</v>
      </c>
      <c r="G78" s="253">
        <f t="shared" ref="G78" si="28">G66+G74+G77</f>
        <v>49969</v>
      </c>
      <c r="H78" s="253">
        <f t="shared" ref="H78" si="29">H66+H74+H77</f>
        <v>45577</v>
      </c>
      <c r="I78" s="253">
        <f t="shared" ref="I78" si="30">I66+I74+I77</f>
        <v>45016</v>
      </c>
      <c r="J78" s="253">
        <f t="shared" ref="J78" si="31">J66+J74+J77</f>
        <v>51120</v>
      </c>
      <c r="K78" s="253">
        <f t="shared" ref="K78" si="32">K66+K74+K77</f>
        <v>41240</v>
      </c>
      <c r="L78" s="253">
        <f t="shared" ref="L78" si="33">L66+L74+L77</f>
        <v>39734</v>
      </c>
      <c r="M78" s="253">
        <f t="shared" ref="M78" si="34">M66+M74+M77</f>
        <v>42781</v>
      </c>
      <c r="N78" s="253">
        <f t="shared" ref="N78" si="35">N66+N74+N77</f>
        <v>51879</v>
      </c>
      <c r="O78" s="253">
        <f t="shared" ref="O78" si="36">O66+O74+O77</f>
        <v>50153</v>
      </c>
      <c r="P78" s="254">
        <f t="shared" ref="P78" si="37">P66+P74+P77</f>
        <v>538822</v>
      </c>
    </row>
    <row r="79" spans="2:16" s="14" customFormat="1" ht="15" customHeight="1">
      <c r="B79" s="695" t="s">
        <v>39</v>
      </c>
      <c r="C79" s="578" t="s">
        <v>366</v>
      </c>
      <c r="D79" s="242"/>
      <c r="E79" s="243"/>
      <c r="F79" s="244"/>
      <c r="G79" s="243"/>
      <c r="H79" s="243"/>
      <c r="I79" s="243"/>
      <c r="J79" s="243"/>
      <c r="K79" s="243"/>
      <c r="L79" s="243"/>
      <c r="M79" s="243"/>
      <c r="N79" s="243"/>
      <c r="O79" s="243"/>
      <c r="P79" s="245">
        <f>SUM(D79:O79)</f>
        <v>0</v>
      </c>
    </row>
    <row r="80" spans="2:16" s="14" customFormat="1" ht="15" customHeight="1">
      <c r="B80" s="696"/>
      <c r="C80" s="579" t="s">
        <v>361</v>
      </c>
      <c r="D80" s="247">
        <v>123</v>
      </c>
      <c r="E80" s="248">
        <v>147</v>
      </c>
      <c r="F80" s="230">
        <v>41</v>
      </c>
      <c r="G80" s="248">
        <v>126</v>
      </c>
      <c r="H80" s="248">
        <v>86</v>
      </c>
      <c r="I80" s="248">
        <v>94</v>
      </c>
      <c r="J80" s="248">
        <v>235</v>
      </c>
      <c r="K80" s="248">
        <v>164</v>
      </c>
      <c r="L80" s="248">
        <v>275</v>
      </c>
      <c r="M80" s="248">
        <v>251</v>
      </c>
      <c r="N80" s="248">
        <v>321</v>
      </c>
      <c r="O80" s="248">
        <v>383</v>
      </c>
      <c r="P80" s="249">
        <f>SUM(D80:O80)</f>
        <v>2246</v>
      </c>
    </row>
    <row r="81" spans="2:16" s="14" customFormat="1" ht="15" customHeight="1" thickBot="1">
      <c r="B81" s="700"/>
      <c r="C81" s="548" t="s">
        <v>6</v>
      </c>
      <c r="D81" s="544">
        <f>SUM(D79:D80)</f>
        <v>123</v>
      </c>
      <c r="E81" s="544">
        <f t="shared" ref="E81:P81" si="38">SUM(E79:E80)</f>
        <v>147</v>
      </c>
      <c r="F81" s="544">
        <f t="shared" si="38"/>
        <v>41</v>
      </c>
      <c r="G81" s="544">
        <f t="shared" si="38"/>
        <v>126</v>
      </c>
      <c r="H81" s="544">
        <f t="shared" si="38"/>
        <v>86</v>
      </c>
      <c r="I81" s="544">
        <f t="shared" si="38"/>
        <v>94</v>
      </c>
      <c r="J81" s="544">
        <f t="shared" si="38"/>
        <v>235</v>
      </c>
      <c r="K81" s="544">
        <f t="shared" si="38"/>
        <v>164</v>
      </c>
      <c r="L81" s="544">
        <f t="shared" si="38"/>
        <v>275</v>
      </c>
      <c r="M81" s="544">
        <f t="shared" si="38"/>
        <v>251</v>
      </c>
      <c r="N81" s="544">
        <f t="shared" si="38"/>
        <v>321</v>
      </c>
      <c r="O81" s="544">
        <f t="shared" si="38"/>
        <v>383</v>
      </c>
      <c r="P81" s="545">
        <f t="shared" si="38"/>
        <v>2246</v>
      </c>
    </row>
    <row r="82" spans="2:16" s="14" customFormat="1" ht="15" customHeight="1" thickBot="1">
      <c r="B82" s="701" t="s">
        <v>40</v>
      </c>
      <c r="C82" s="702"/>
      <c r="D82" s="253">
        <f>D66+D74+D77+D81</f>
        <v>37038</v>
      </c>
      <c r="E82" s="253">
        <f t="shared" ref="E82:P82" si="39">E66+E74+E77+E81</f>
        <v>39560</v>
      </c>
      <c r="F82" s="253">
        <f t="shared" si="39"/>
        <v>45066</v>
      </c>
      <c r="G82" s="253">
        <f t="shared" si="39"/>
        <v>50095</v>
      </c>
      <c r="H82" s="253">
        <f t="shared" si="39"/>
        <v>45663</v>
      </c>
      <c r="I82" s="253">
        <f t="shared" si="39"/>
        <v>45110</v>
      </c>
      <c r="J82" s="253">
        <f t="shared" si="39"/>
        <v>51355</v>
      </c>
      <c r="K82" s="253">
        <f t="shared" si="39"/>
        <v>41404</v>
      </c>
      <c r="L82" s="253">
        <f t="shared" si="39"/>
        <v>40009</v>
      </c>
      <c r="M82" s="253">
        <f t="shared" si="39"/>
        <v>43032</v>
      </c>
      <c r="N82" s="253">
        <f t="shared" si="39"/>
        <v>52200</v>
      </c>
      <c r="O82" s="253">
        <f t="shared" si="39"/>
        <v>50536</v>
      </c>
      <c r="P82" s="254">
        <f t="shared" si="39"/>
        <v>541068</v>
      </c>
    </row>
    <row r="83" spans="2:16" s="14" customFormat="1" ht="15" customHeight="1">
      <c r="B83" s="176"/>
      <c r="C83" s="176"/>
      <c r="D83" s="75"/>
      <c r="E83" s="75"/>
      <c r="F83" s="75"/>
      <c r="G83" s="75"/>
      <c r="H83" s="75"/>
      <c r="I83" s="75"/>
      <c r="J83" s="75"/>
      <c r="K83" s="75"/>
      <c r="L83" s="75"/>
      <c r="M83" s="177"/>
      <c r="N83" s="177"/>
      <c r="O83" s="177"/>
      <c r="P83" s="75"/>
    </row>
    <row r="84" spans="2:16" s="14" customFormat="1" ht="15" customHeight="1">
      <c r="B84" s="178" t="s">
        <v>26</v>
      </c>
      <c r="C84" s="179"/>
      <c r="D84" s="180">
        <f t="shared" ref="D84:P84" si="40">D62</f>
        <v>3342</v>
      </c>
      <c r="E84" s="180">
        <f t="shared" si="40"/>
        <v>2562</v>
      </c>
      <c r="F84" s="180">
        <f t="shared" si="40"/>
        <v>2642</v>
      </c>
      <c r="G84" s="180">
        <f t="shared" si="40"/>
        <v>2624</v>
      </c>
      <c r="H84" s="180">
        <f t="shared" si="40"/>
        <v>2618</v>
      </c>
      <c r="I84" s="180">
        <f t="shared" si="40"/>
        <v>2352</v>
      </c>
      <c r="J84" s="180">
        <f t="shared" si="40"/>
        <v>2859</v>
      </c>
      <c r="K84" s="180">
        <f t="shared" si="40"/>
        <v>2155</v>
      </c>
      <c r="L84" s="180">
        <f t="shared" si="40"/>
        <v>2055</v>
      </c>
      <c r="M84" s="180">
        <f t="shared" si="40"/>
        <v>2514</v>
      </c>
      <c r="N84" s="180">
        <f t="shared" si="40"/>
        <v>3208</v>
      </c>
      <c r="O84" s="180">
        <f t="shared" si="40"/>
        <v>2567</v>
      </c>
      <c r="P84" s="180">
        <f t="shared" si="40"/>
        <v>31498</v>
      </c>
    </row>
    <row r="85" spans="2:16" s="14" customFormat="1" ht="15" customHeight="1">
      <c r="B85" s="185"/>
      <c r="C85" s="182" t="s">
        <v>136</v>
      </c>
      <c r="D85" s="183">
        <f t="shared" ref="D85:O85" si="41">D84-D86</f>
        <v>2593</v>
      </c>
      <c r="E85" s="183">
        <f t="shared" si="41"/>
        <v>1756</v>
      </c>
      <c r="F85" s="183">
        <f t="shared" si="41"/>
        <v>1911</v>
      </c>
      <c r="G85" s="183">
        <f t="shared" si="41"/>
        <v>2211</v>
      </c>
      <c r="H85" s="183">
        <f t="shared" si="41"/>
        <v>2255</v>
      </c>
      <c r="I85" s="183">
        <f t="shared" si="41"/>
        <v>1902</v>
      </c>
      <c r="J85" s="183">
        <f t="shared" si="41"/>
        <v>1896</v>
      </c>
      <c r="K85" s="183">
        <f t="shared" si="41"/>
        <v>1516</v>
      </c>
      <c r="L85" s="183">
        <f t="shared" si="41"/>
        <v>1420</v>
      </c>
      <c r="M85" s="183">
        <f t="shared" si="41"/>
        <v>2014</v>
      </c>
      <c r="N85" s="183">
        <f t="shared" si="41"/>
        <v>2288</v>
      </c>
      <c r="O85" s="183">
        <f t="shared" si="41"/>
        <v>1876</v>
      </c>
      <c r="P85" s="294">
        <f>SUM(D85:O85)</f>
        <v>23638</v>
      </c>
    </row>
    <row r="86" spans="2:16" s="14" customFormat="1" ht="15" customHeight="1">
      <c r="B86" s="186"/>
      <c r="C86" s="182" t="s">
        <v>137</v>
      </c>
      <c r="D86" s="183">
        <v>749</v>
      </c>
      <c r="E86" s="183">
        <v>806</v>
      </c>
      <c r="F86" s="183">
        <v>731</v>
      </c>
      <c r="G86" s="183">
        <v>413</v>
      </c>
      <c r="H86" s="183">
        <v>363</v>
      </c>
      <c r="I86" s="183">
        <v>450</v>
      </c>
      <c r="J86" s="183">
        <v>963</v>
      </c>
      <c r="K86" s="183">
        <v>639</v>
      </c>
      <c r="L86" s="183">
        <v>635</v>
      </c>
      <c r="M86" s="183">
        <v>500</v>
      </c>
      <c r="N86" s="183">
        <v>920</v>
      </c>
      <c r="O86" s="183">
        <v>691</v>
      </c>
      <c r="P86" s="294">
        <f>SUM(D86:O86)</f>
        <v>7860</v>
      </c>
    </row>
    <row r="87" spans="2:16" s="14" customFormat="1" ht="15" customHeight="1">
      <c r="B87" s="187"/>
      <c r="C87" s="188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</row>
    <row r="88" spans="2:16" s="14" customFormat="1" ht="15" customHeight="1">
      <c r="B88" s="178" t="s">
        <v>335</v>
      </c>
      <c r="C88" s="179"/>
      <c r="D88" s="180">
        <f t="shared" ref="D88:P88" si="42">D63</f>
        <v>2566</v>
      </c>
      <c r="E88" s="180">
        <f t="shared" si="42"/>
        <v>2932</v>
      </c>
      <c r="F88" s="180">
        <f t="shared" si="42"/>
        <v>2722</v>
      </c>
      <c r="G88" s="180">
        <f t="shared" si="42"/>
        <v>4176</v>
      </c>
      <c r="H88" s="180">
        <f t="shared" si="42"/>
        <v>3636</v>
      </c>
      <c r="I88" s="180">
        <f t="shared" si="42"/>
        <v>4012</v>
      </c>
      <c r="J88" s="180">
        <f t="shared" si="42"/>
        <v>4807</v>
      </c>
      <c r="K88" s="180">
        <f t="shared" si="42"/>
        <v>4257</v>
      </c>
      <c r="L88" s="180">
        <f t="shared" si="42"/>
        <v>3990</v>
      </c>
      <c r="M88" s="180">
        <f t="shared" si="42"/>
        <v>3613</v>
      </c>
      <c r="N88" s="180">
        <f t="shared" si="42"/>
        <v>3867</v>
      </c>
      <c r="O88" s="180">
        <f t="shared" si="42"/>
        <v>5072</v>
      </c>
      <c r="P88" s="180">
        <f t="shared" si="42"/>
        <v>45650</v>
      </c>
    </row>
    <row r="89" spans="2:16" s="14" customFormat="1" ht="15" customHeight="1">
      <c r="B89" s="181"/>
      <c r="C89" s="298" t="s">
        <v>336</v>
      </c>
      <c r="D89" s="299">
        <f t="shared" ref="D89:O89" si="43">D88-D90</f>
        <v>1016</v>
      </c>
      <c r="E89" s="299">
        <f t="shared" si="43"/>
        <v>1342</v>
      </c>
      <c r="F89" s="299">
        <f t="shared" si="43"/>
        <v>1421</v>
      </c>
      <c r="G89" s="299">
        <f t="shared" si="43"/>
        <v>1737</v>
      </c>
      <c r="H89" s="299">
        <f t="shared" si="43"/>
        <v>1110</v>
      </c>
      <c r="I89" s="299">
        <f t="shared" si="43"/>
        <v>1711</v>
      </c>
      <c r="J89" s="299">
        <f t="shared" si="43"/>
        <v>1711</v>
      </c>
      <c r="K89" s="299">
        <f t="shared" si="43"/>
        <v>1999</v>
      </c>
      <c r="L89" s="299">
        <f t="shared" si="43"/>
        <v>1665</v>
      </c>
      <c r="M89" s="299">
        <f t="shared" si="43"/>
        <v>1732</v>
      </c>
      <c r="N89" s="299">
        <f t="shared" si="43"/>
        <v>1734</v>
      </c>
      <c r="O89" s="299">
        <f t="shared" si="43"/>
        <v>2322</v>
      </c>
      <c r="P89" s="299">
        <f>SUM(D89:O89)</f>
        <v>19500</v>
      </c>
    </row>
    <row r="90" spans="2:16" s="14" customFormat="1" ht="15" customHeight="1">
      <c r="B90" s="507"/>
      <c r="C90" s="298" t="s">
        <v>338</v>
      </c>
      <c r="D90" s="299">
        <v>1550</v>
      </c>
      <c r="E90" s="299">
        <v>1590</v>
      </c>
      <c r="F90" s="299">
        <v>1301</v>
      </c>
      <c r="G90" s="299">
        <v>2439</v>
      </c>
      <c r="H90" s="299">
        <v>2526</v>
      </c>
      <c r="I90" s="299">
        <v>2301</v>
      </c>
      <c r="J90" s="299">
        <v>3096</v>
      </c>
      <c r="K90" s="299">
        <v>2258</v>
      </c>
      <c r="L90" s="299">
        <v>2325</v>
      </c>
      <c r="M90" s="299">
        <v>1881</v>
      </c>
      <c r="N90" s="299">
        <v>2133</v>
      </c>
      <c r="O90" s="299">
        <v>2750</v>
      </c>
      <c r="P90" s="299">
        <f>SUM(D90:O90)</f>
        <v>26150</v>
      </c>
    </row>
    <row r="91" spans="2:16" s="14" customFormat="1" ht="15" customHeight="1">
      <c r="B91" s="187"/>
      <c r="C91" s="188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</row>
    <row r="92" spans="2:16" s="14" customFormat="1" ht="15" customHeight="1">
      <c r="B92" s="178" t="s">
        <v>86</v>
      </c>
      <c r="C92" s="179"/>
      <c r="D92" s="180">
        <f t="shared" ref="D92:O92" si="44">D67</f>
        <v>1224</v>
      </c>
      <c r="E92" s="180">
        <f t="shared" si="44"/>
        <v>2569</v>
      </c>
      <c r="F92" s="180">
        <f t="shared" si="44"/>
        <v>2413</v>
      </c>
      <c r="G92" s="180">
        <f t="shared" si="44"/>
        <v>3613</v>
      </c>
      <c r="H92" s="180">
        <f t="shared" si="44"/>
        <v>2890</v>
      </c>
      <c r="I92" s="180">
        <f t="shared" si="44"/>
        <v>3821</v>
      </c>
      <c r="J92" s="180">
        <f t="shared" si="44"/>
        <v>2878</v>
      </c>
      <c r="K92" s="180">
        <f t="shared" si="44"/>
        <v>2321</v>
      </c>
      <c r="L92" s="180">
        <f t="shared" si="44"/>
        <v>2361</v>
      </c>
      <c r="M92" s="180">
        <f t="shared" si="44"/>
        <v>1642</v>
      </c>
      <c r="N92" s="180">
        <f t="shared" si="44"/>
        <v>1998</v>
      </c>
      <c r="O92" s="180">
        <f t="shared" si="44"/>
        <v>1761</v>
      </c>
      <c r="P92" s="180">
        <f>SUM(D92:O92)</f>
        <v>29491</v>
      </c>
    </row>
    <row r="93" spans="2:16" s="14" customFormat="1" ht="15" customHeight="1">
      <c r="B93" s="181"/>
      <c r="C93" s="182" t="s">
        <v>350</v>
      </c>
      <c r="D93" s="183">
        <f t="shared" ref="D93:O93" si="45">D92-D94-D95</f>
        <v>1214</v>
      </c>
      <c r="E93" s="183">
        <f t="shared" si="45"/>
        <v>2336</v>
      </c>
      <c r="F93" s="183">
        <f t="shared" si="45"/>
        <v>2094</v>
      </c>
      <c r="G93" s="183">
        <f t="shared" si="45"/>
        <v>3566</v>
      </c>
      <c r="H93" s="183">
        <f t="shared" si="45"/>
        <v>2686</v>
      </c>
      <c r="I93" s="183">
        <f t="shared" si="45"/>
        <v>1951</v>
      </c>
      <c r="J93" s="183">
        <f t="shared" si="45"/>
        <v>1332</v>
      </c>
      <c r="K93" s="183">
        <f t="shared" si="45"/>
        <v>665</v>
      </c>
      <c r="L93" s="183">
        <f t="shared" si="45"/>
        <v>739</v>
      </c>
      <c r="M93" s="183">
        <f t="shared" si="45"/>
        <v>732</v>
      </c>
      <c r="N93" s="183">
        <f t="shared" si="45"/>
        <v>1498</v>
      </c>
      <c r="O93" s="183">
        <f t="shared" si="45"/>
        <v>1484</v>
      </c>
      <c r="P93" s="184">
        <f>SUM(D93:O93)</f>
        <v>20297</v>
      </c>
    </row>
    <row r="94" spans="2:16" s="14" customFormat="1" ht="15" customHeight="1">
      <c r="B94" s="185"/>
      <c r="C94" s="182" t="s">
        <v>118</v>
      </c>
      <c r="D94" s="183">
        <v>10</v>
      </c>
      <c r="E94" s="183">
        <v>233</v>
      </c>
      <c r="F94" s="183">
        <v>319</v>
      </c>
      <c r="G94" s="183">
        <v>47</v>
      </c>
      <c r="H94" s="183">
        <v>1</v>
      </c>
      <c r="I94" s="183">
        <v>931</v>
      </c>
      <c r="J94" s="183">
        <v>623</v>
      </c>
      <c r="K94" s="183">
        <v>824</v>
      </c>
      <c r="L94" s="183">
        <v>687</v>
      </c>
      <c r="M94" s="183">
        <v>366</v>
      </c>
      <c r="N94" s="183">
        <v>240</v>
      </c>
      <c r="O94" s="183">
        <v>200</v>
      </c>
      <c r="P94" s="184">
        <f>SUM(D94:O94)</f>
        <v>4481</v>
      </c>
    </row>
    <row r="95" spans="2:16" s="14" customFormat="1" ht="15" customHeight="1">
      <c r="B95" s="186"/>
      <c r="C95" s="182" t="s">
        <v>360</v>
      </c>
      <c r="D95" s="183"/>
      <c r="E95" s="183"/>
      <c r="F95" s="183"/>
      <c r="G95" s="183"/>
      <c r="H95" s="183">
        <v>203</v>
      </c>
      <c r="I95" s="183">
        <v>939</v>
      </c>
      <c r="J95" s="183">
        <v>923</v>
      </c>
      <c r="K95" s="183">
        <v>832</v>
      </c>
      <c r="L95" s="183">
        <v>935</v>
      </c>
      <c r="M95" s="183">
        <v>544</v>
      </c>
      <c r="N95" s="183">
        <v>260</v>
      </c>
      <c r="O95" s="183">
        <v>77</v>
      </c>
      <c r="P95" s="184">
        <f>SUM(D95:O95)</f>
        <v>4713</v>
      </c>
    </row>
    <row r="96" spans="2:16" s="14" customFormat="1" ht="15" customHeight="1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2:16" s="14" customFormat="1" ht="15" customHeight="1">
      <c r="B97" s="178" t="s">
        <v>73</v>
      </c>
      <c r="C97" s="179"/>
      <c r="D97" s="180">
        <f t="shared" ref="D97:O97" si="46">D70</f>
        <v>4455</v>
      </c>
      <c r="E97" s="180">
        <f t="shared" si="46"/>
        <v>3781</v>
      </c>
      <c r="F97" s="180">
        <f t="shared" si="46"/>
        <v>4919</v>
      </c>
      <c r="G97" s="180">
        <f t="shared" si="46"/>
        <v>4556</v>
      </c>
      <c r="H97" s="180">
        <f t="shared" si="46"/>
        <v>4542</v>
      </c>
      <c r="I97" s="180">
        <f t="shared" si="46"/>
        <v>4513</v>
      </c>
      <c r="J97" s="180">
        <f t="shared" si="46"/>
        <v>3406</v>
      </c>
      <c r="K97" s="180">
        <f t="shared" si="46"/>
        <v>3873</v>
      </c>
      <c r="L97" s="180">
        <f t="shared" si="46"/>
        <v>4441</v>
      </c>
      <c r="M97" s="180">
        <f t="shared" si="46"/>
        <v>4950</v>
      </c>
      <c r="N97" s="180">
        <f t="shared" si="46"/>
        <v>5762</v>
      </c>
      <c r="O97" s="180">
        <f t="shared" si="46"/>
        <v>6196</v>
      </c>
      <c r="P97" s="180">
        <f>SUM(D97:O97)</f>
        <v>55394</v>
      </c>
    </row>
    <row r="98" spans="2:16" s="14" customFormat="1" ht="15" customHeight="1">
      <c r="B98" s="185"/>
      <c r="C98" s="182" t="s">
        <v>342</v>
      </c>
      <c r="D98" s="183">
        <f>D97-D99</f>
        <v>3401</v>
      </c>
      <c r="E98" s="183">
        <f t="shared" ref="E98:O98" si="47">E97-E99</f>
        <v>2598</v>
      </c>
      <c r="F98" s="183">
        <f t="shared" si="47"/>
        <v>3477</v>
      </c>
      <c r="G98" s="183">
        <f t="shared" si="47"/>
        <v>3036</v>
      </c>
      <c r="H98" s="183">
        <f t="shared" si="47"/>
        <v>3156</v>
      </c>
      <c r="I98" s="183">
        <f t="shared" si="47"/>
        <v>2109</v>
      </c>
      <c r="J98" s="183">
        <f t="shared" si="47"/>
        <v>1873</v>
      </c>
      <c r="K98" s="183">
        <f t="shared" si="47"/>
        <v>2046</v>
      </c>
      <c r="L98" s="183">
        <f t="shared" si="47"/>
        <v>2420</v>
      </c>
      <c r="M98" s="183">
        <f t="shared" si="47"/>
        <v>3079</v>
      </c>
      <c r="N98" s="183">
        <f t="shared" si="47"/>
        <v>3450</v>
      </c>
      <c r="O98" s="183">
        <f t="shared" si="47"/>
        <v>3208</v>
      </c>
      <c r="P98" s="184">
        <f>SUM(D98:O98)</f>
        <v>33853</v>
      </c>
    </row>
    <row r="99" spans="2:16" s="14" customFormat="1" ht="15" customHeight="1">
      <c r="B99" s="186"/>
      <c r="C99" s="182" t="s">
        <v>343</v>
      </c>
      <c r="D99" s="183">
        <v>1054</v>
      </c>
      <c r="E99" s="183">
        <v>1183</v>
      </c>
      <c r="F99" s="183">
        <v>1442</v>
      </c>
      <c r="G99" s="183">
        <v>1520</v>
      </c>
      <c r="H99" s="183">
        <v>1386</v>
      </c>
      <c r="I99" s="183">
        <v>2404</v>
      </c>
      <c r="J99" s="183">
        <v>1533</v>
      </c>
      <c r="K99" s="183">
        <v>1827</v>
      </c>
      <c r="L99" s="183">
        <v>2021</v>
      </c>
      <c r="M99" s="183">
        <v>1871</v>
      </c>
      <c r="N99" s="183">
        <v>2312</v>
      </c>
      <c r="O99" s="183">
        <v>2988</v>
      </c>
      <c r="P99" s="184">
        <f>SUM(D99:O99)</f>
        <v>21541</v>
      </c>
    </row>
    <row r="100" spans="2:16" s="14" customFormat="1" ht="15" customHeight="1">
      <c r="B100" s="29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90"/>
    </row>
    <row r="101" spans="2:16" s="14" customFormat="1" ht="15" customHeight="1">
      <c r="B101" s="178" t="s">
        <v>151</v>
      </c>
      <c r="C101" s="179"/>
      <c r="D101" s="180">
        <f t="shared" ref="D101:O101" si="48">D71</f>
        <v>5066</v>
      </c>
      <c r="E101" s="180">
        <f t="shared" si="48"/>
        <v>4776</v>
      </c>
      <c r="F101" s="180">
        <f t="shared" si="48"/>
        <v>5435</v>
      </c>
      <c r="G101" s="180">
        <f t="shared" si="48"/>
        <v>5551</v>
      </c>
      <c r="H101" s="180">
        <f t="shared" si="48"/>
        <v>5356</v>
      </c>
      <c r="I101" s="180">
        <f t="shared" si="48"/>
        <v>5593</v>
      </c>
      <c r="J101" s="180">
        <f t="shared" si="48"/>
        <v>6940</v>
      </c>
      <c r="K101" s="180">
        <f t="shared" si="48"/>
        <v>5674</v>
      </c>
      <c r="L101" s="180">
        <f t="shared" si="48"/>
        <v>5335</v>
      </c>
      <c r="M101" s="180">
        <f t="shared" si="48"/>
        <v>5127</v>
      </c>
      <c r="N101" s="180">
        <f t="shared" si="48"/>
        <v>6656</v>
      </c>
      <c r="O101" s="180">
        <f t="shared" si="48"/>
        <v>7393</v>
      </c>
      <c r="P101" s="180">
        <f t="shared" ref="P101:P107" si="49">SUM(D101:O101)</f>
        <v>68902</v>
      </c>
    </row>
    <row r="102" spans="2:16" s="14" customFormat="1" ht="15" customHeight="1">
      <c r="B102" s="181"/>
      <c r="C102" s="182" t="s">
        <v>159</v>
      </c>
      <c r="D102" s="183">
        <f>D101-D103</f>
        <v>1345</v>
      </c>
      <c r="E102" s="183">
        <f t="shared" ref="E102:O102" si="50">E101-E103</f>
        <v>1245</v>
      </c>
      <c r="F102" s="183">
        <f t="shared" si="50"/>
        <v>1451</v>
      </c>
      <c r="G102" s="183">
        <f t="shared" si="50"/>
        <v>1665</v>
      </c>
      <c r="H102" s="183">
        <f t="shared" si="50"/>
        <v>1136</v>
      </c>
      <c r="I102" s="183">
        <f t="shared" si="50"/>
        <v>1523</v>
      </c>
      <c r="J102" s="183">
        <f t="shared" si="50"/>
        <v>1803</v>
      </c>
      <c r="K102" s="183">
        <f t="shared" si="50"/>
        <v>1922</v>
      </c>
      <c r="L102" s="183">
        <f t="shared" si="50"/>
        <v>1646</v>
      </c>
      <c r="M102" s="183">
        <f t="shared" si="50"/>
        <v>1579</v>
      </c>
      <c r="N102" s="183">
        <f t="shared" si="50"/>
        <v>1730</v>
      </c>
      <c r="O102" s="183">
        <f t="shared" si="50"/>
        <v>2446</v>
      </c>
      <c r="P102" s="184">
        <f t="shared" si="49"/>
        <v>19491</v>
      </c>
    </row>
    <row r="103" spans="2:16" s="14" customFormat="1" ht="15" customHeight="1">
      <c r="B103" s="186"/>
      <c r="C103" s="182" t="s">
        <v>160</v>
      </c>
      <c r="D103" s="183">
        <v>3721</v>
      </c>
      <c r="E103" s="183">
        <v>3531</v>
      </c>
      <c r="F103" s="183">
        <v>3984</v>
      </c>
      <c r="G103" s="183">
        <v>3886</v>
      </c>
      <c r="H103" s="183">
        <v>4220</v>
      </c>
      <c r="I103" s="183">
        <v>4070</v>
      </c>
      <c r="J103" s="183">
        <v>5137</v>
      </c>
      <c r="K103" s="183">
        <v>3752</v>
      </c>
      <c r="L103" s="183">
        <v>3689</v>
      </c>
      <c r="M103" s="183">
        <v>3548</v>
      </c>
      <c r="N103" s="183">
        <v>4926</v>
      </c>
      <c r="O103" s="183">
        <v>4947</v>
      </c>
      <c r="P103" s="184">
        <f t="shared" si="49"/>
        <v>49411</v>
      </c>
    </row>
    <row r="104" spans="2:16" s="14" customFormat="1" ht="15" customHeight="1">
      <c r="B104" s="297"/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90">
        <f t="shared" si="49"/>
        <v>0</v>
      </c>
    </row>
    <row r="105" spans="2:16" s="14" customFormat="1" ht="15" customHeight="1">
      <c r="B105" s="178" t="s">
        <v>152</v>
      </c>
      <c r="C105" s="179"/>
      <c r="D105" s="180">
        <f t="shared" ref="D105:O105" si="51">D75</f>
        <v>4520</v>
      </c>
      <c r="E105" s="180">
        <f t="shared" si="51"/>
        <v>6230</v>
      </c>
      <c r="F105" s="180">
        <f t="shared" si="51"/>
        <v>4608</v>
      </c>
      <c r="G105" s="180">
        <f t="shared" si="51"/>
        <v>6402</v>
      </c>
      <c r="H105" s="180">
        <f t="shared" si="51"/>
        <v>5655</v>
      </c>
      <c r="I105" s="180">
        <f t="shared" si="51"/>
        <v>4386</v>
      </c>
      <c r="J105" s="180">
        <f t="shared" si="51"/>
        <v>6407</v>
      </c>
      <c r="K105" s="180">
        <f t="shared" si="51"/>
        <v>5389</v>
      </c>
      <c r="L105" s="180">
        <f t="shared" si="51"/>
        <v>5303</v>
      </c>
      <c r="M105" s="180">
        <f t="shared" si="51"/>
        <v>5872</v>
      </c>
      <c r="N105" s="180">
        <f t="shared" si="51"/>
        <v>5951</v>
      </c>
      <c r="O105" s="180">
        <f t="shared" si="51"/>
        <v>4103</v>
      </c>
      <c r="P105" s="180">
        <f t="shared" si="49"/>
        <v>64826</v>
      </c>
    </row>
    <row r="106" spans="2:16" s="14" customFormat="1" ht="15" customHeight="1">
      <c r="B106" s="181"/>
      <c r="C106" s="182" t="s">
        <v>153</v>
      </c>
      <c r="D106" s="183">
        <f>D105-D107</f>
        <v>4399</v>
      </c>
      <c r="E106" s="183">
        <f t="shared" ref="E106:O106" si="52">E105-E107</f>
        <v>3342</v>
      </c>
      <c r="F106" s="183">
        <f t="shared" si="52"/>
        <v>3429</v>
      </c>
      <c r="G106" s="183">
        <f t="shared" si="52"/>
        <v>4866</v>
      </c>
      <c r="H106" s="183">
        <f t="shared" si="52"/>
        <v>4159</v>
      </c>
      <c r="I106" s="183">
        <f t="shared" si="52"/>
        <v>3255</v>
      </c>
      <c r="J106" s="183">
        <f t="shared" si="52"/>
        <v>4481</v>
      </c>
      <c r="K106" s="183">
        <f t="shared" si="52"/>
        <v>4206</v>
      </c>
      <c r="L106" s="183">
        <f t="shared" si="52"/>
        <v>3959</v>
      </c>
      <c r="M106" s="183">
        <f t="shared" si="52"/>
        <v>4340</v>
      </c>
      <c r="N106" s="183">
        <f t="shared" si="52"/>
        <v>4968</v>
      </c>
      <c r="O106" s="183">
        <f t="shared" si="52"/>
        <v>4049</v>
      </c>
      <c r="P106" s="184">
        <f t="shared" si="49"/>
        <v>49453</v>
      </c>
    </row>
    <row r="107" spans="2:16" s="14" customFormat="1" ht="15" customHeight="1">
      <c r="B107" s="186"/>
      <c r="C107" s="182" t="s">
        <v>154</v>
      </c>
      <c r="D107" s="183">
        <v>121</v>
      </c>
      <c r="E107" s="183">
        <v>2888</v>
      </c>
      <c r="F107" s="183">
        <v>1179</v>
      </c>
      <c r="G107" s="183">
        <v>1536</v>
      </c>
      <c r="H107" s="183">
        <v>1496</v>
      </c>
      <c r="I107" s="183">
        <v>1131</v>
      </c>
      <c r="J107" s="183">
        <v>1926</v>
      </c>
      <c r="K107" s="183">
        <v>1183</v>
      </c>
      <c r="L107" s="183">
        <v>1344</v>
      </c>
      <c r="M107" s="183">
        <v>1532</v>
      </c>
      <c r="N107" s="183">
        <v>983</v>
      </c>
      <c r="O107" s="183">
        <v>54</v>
      </c>
      <c r="P107" s="184">
        <f t="shared" si="49"/>
        <v>15373</v>
      </c>
    </row>
    <row r="108" spans="2:16" s="14" customFormat="1" ht="15" customHeight="1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2:16" s="14" customFormat="1" ht="15" customHeight="1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2:16" s="14" customFormat="1" ht="15" customHeight="1" thickBot="1">
      <c r="B110" s="146" t="s">
        <v>331</v>
      </c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8"/>
    </row>
    <row r="111" spans="2:16" s="14" customFormat="1" ht="15" customHeight="1" thickBot="1">
      <c r="B111" s="224"/>
      <c r="C111" s="225" t="s">
        <v>88</v>
      </c>
      <c r="D111" s="226">
        <v>1</v>
      </c>
      <c r="E111" s="227">
        <v>2</v>
      </c>
      <c r="F111" s="227">
        <v>3</v>
      </c>
      <c r="G111" s="227">
        <v>4</v>
      </c>
      <c r="H111" s="227">
        <v>5</v>
      </c>
      <c r="I111" s="227">
        <v>6</v>
      </c>
      <c r="J111" s="227">
        <v>7</v>
      </c>
      <c r="K111" s="227">
        <v>8</v>
      </c>
      <c r="L111" s="227">
        <v>9</v>
      </c>
      <c r="M111" s="227">
        <v>10</v>
      </c>
      <c r="N111" s="227">
        <v>11</v>
      </c>
      <c r="O111" s="227">
        <v>12</v>
      </c>
      <c r="P111" s="228" t="s">
        <v>6</v>
      </c>
    </row>
    <row r="112" spans="2:16" s="14" customFormat="1" ht="15" customHeight="1">
      <c r="B112" s="741" t="s">
        <v>132</v>
      </c>
      <c r="C112" s="229" t="s">
        <v>22</v>
      </c>
      <c r="D112" s="230">
        <v>2578</v>
      </c>
      <c r="E112" s="231">
        <v>2691</v>
      </c>
      <c r="F112" s="230">
        <v>3480</v>
      </c>
      <c r="G112" s="231">
        <v>3348</v>
      </c>
      <c r="H112" s="231">
        <v>2967</v>
      </c>
      <c r="I112" s="231">
        <v>3349</v>
      </c>
      <c r="J112" s="231">
        <v>2767</v>
      </c>
      <c r="K112" s="231">
        <v>1782</v>
      </c>
      <c r="L112" s="231">
        <v>1937</v>
      </c>
      <c r="M112" s="231">
        <v>1369</v>
      </c>
      <c r="N112" s="231">
        <v>1941</v>
      </c>
      <c r="O112" s="231">
        <v>2321</v>
      </c>
      <c r="P112" s="232">
        <f t="shared" ref="P112:P118" si="53">SUM(D112:O112)</f>
        <v>30530</v>
      </c>
    </row>
    <row r="113" spans="2:16" s="14" customFormat="1" ht="15" customHeight="1">
      <c r="B113" s="742"/>
      <c r="C113" s="229" t="s">
        <v>44</v>
      </c>
      <c r="D113" s="230">
        <v>2646</v>
      </c>
      <c r="E113" s="231">
        <v>2266</v>
      </c>
      <c r="F113" s="230">
        <v>2967</v>
      </c>
      <c r="G113" s="231">
        <v>3808</v>
      </c>
      <c r="H113" s="231">
        <v>3608</v>
      </c>
      <c r="I113" s="231">
        <v>3223</v>
      </c>
      <c r="J113" s="231">
        <v>3325</v>
      </c>
      <c r="K113" s="231">
        <v>1814</v>
      </c>
      <c r="L113" s="231">
        <v>3030</v>
      </c>
      <c r="M113" s="231">
        <v>3399</v>
      </c>
      <c r="N113" s="231">
        <v>3028</v>
      </c>
      <c r="O113" s="231">
        <v>2842</v>
      </c>
      <c r="P113" s="232">
        <f t="shared" si="53"/>
        <v>35956</v>
      </c>
    </row>
    <row r="114" spans="2:16" s="14" customFormat="1" ht="15" customHeight="1">
      <c r="B114" s="742"/>
      <c r="C114" s="229" t="s">
        <v>48</v>
      </c>
      <c r="D114" s="230">
        <v>1346</v>
      </c>
      <c r="E114" s="231">
        <v>1378</v>
      </c>
      <c r="F114" s="230">
        <v>1823</v>
      </c>
      <c r="G114" s="231">
        <v>2491</v>
      </c>
      <c r="H114" s="231">
        <v>3147</v>
      </c>
      <c r="I114" s="231">
        <v>3042</v>
      </c>
      <c r="J114" s="231">
        <v>3147</v>
      </c>
      <c r="K114" s="231">
        <v>1829</v>
      </c>
      <c r="L114" s="231">
        <v>2130</v>
      </c>
      <c r="M114" s="231">
        <v>1526</v>
      </c>
      <c r="N114" s="231">
        <v>2342</v>
      </c>
      <c r="O114" s="231">
        <v>2204</v>
      </c>
      <c r="P114" s="232">
        <f t="shared" si="53"/>
        <v>26405</v>
      </c>
    </row>
    <row r="115" spans="2:16" s="14" customFormat="1" ht="15" customHeight="1">
      <c r="B115" s="742"/>
      <c r="C115" s="229" t="s">
        <v>69</v>
      </c>
      <c r="D115" s="230">
        <v>5440</v>
      </c>
      <c r="E115" s="231">
        <v>5547</v>
      </c>
      <c r="F115" s="230">
        <v>6882</v>
      </c>
      <c r="G115" s="231">
        <v>6607</v>
      </c>
      <c r="H115" s="231">
        <v>6034</v>
      </c>
      <c r="I115" s="231">
        <v>5835</v>
      </c>
      <c r="J115" s="231">
        <v>5777</v>
      </c>
      <c r="K115" s="231">
        <v>4368</v>
      </c>
      <c r="L115" s="231">
        <v>1998</v>
      </c>
      <c r="M115" s="231">
        <v>1936</v>
      </c>
      <c r="N115" s="231">
        <v>4483</v>
      </c>
      <c r="O115" s="231">
        <v>4592</v>
      </c>
      <c r="P115" s="232">
        <f t="shared" si="53"/>
        <v>59499</v>
      </c>
    </row>
    <row r="116" spans="2:16" s="14" customFormat="1" ht="15" customHeight="1">
      <c r="B116" s="742"/>
      <c r="C116" s="229" t="s">
        <v>333</v>
      </c>
      <c r="D116" s="230">
        <v>1709</v>
      </c>
      <c r="E116" s="231">
        <v>1528</v>
      </c>
      <c r="F116" s="230">
        <v>2474</v>
      </c>
      <c r="G116" s="231">
        <v>5017</v>
      </c>
      <c r="H116" s="231">
        <v>5565</v>
      </c>
      <c r="I116" s="231">
        <v>5473</v>
      </c>
      <c r="J116" s="231">
        <v>6008</v>
      </c>
      <c r="K116" s="231">
        <v>3170</v>
      </c>
      <c r="L116" s="231">
        <v>3188</v>
      </c>
      <c r="M116" s="231">
        <v>4181</v>
      </c>
      <c r="N116" s="231">
        <v>4417</v>
      </c>
      <c r="O116" s="231">
        <v>4011</v>
      </c>
      <c r="P116" s="232">
        <f t="shared" si="53"/>
        <v>46741</v>
      </c>
    </row>
    <row r="117" spans="2:16" s="14" customFormat="1" ht="15" customHeight="1">
      <c r="B117" s="742"/>
      <c r="C117" s="229" t="s">
        <v>101</v>
      </c>
      <c r="D117" s="230">
        <v>279</v>
      </c>
      <c r="E117" s="231">
        <v>378</v>
      </c>
      <c r="F117" s="230">
        <v>312</v>
      </c>
      <c r="G117" s="231">
        <v>364</v>
      </c>
      <c r="H117" s="231">
        <v>252</v>
      </c>
      <c r="I117" s="231">
        <v>269</v>
      </c>
      <c r="J117" s="231">
        <v>277</v>
      </c>
      <c r="K117" s="231">
        <v>203</v>
      </c>
      <c r="L117" s="231">
        <v>127</v>
      </c>
      <c r="M117" s="231">
        <v>240</v>
      </c>
      <c r="N117" s="231">
        <v>241</v>
      </c>
      <c r="O117" s="231">
        <v>225</v>
      </c>
      <c r="P117" s="232">
        <f t="shared" si="53"/>
        <v>3167</v>
      </c>
    </row>
    <row r="118" spans="2:16" s="14" customFormat="1" ht="15" customHeight="1">
      <c r="B118" s="742"/>
      <c r="C118" s="233" t="s">
        <v>46</v>
      </c>
      <c r="D118" s="234">
        <v>433</v>
      </c>
      <c r="E118" s="235">
        <v>435</v>
      </c>
      <c r="F118" s="230">
        <v>450</v>
      </c>
      <c r="G118" s="235">
        <v>412</v>
      </c>
      <c r="H118" s="235">
        <v>504</v>
      </c>
      <c r="I118" s="235">
        <v>614</v>
      </c>
      <c r="J118" s="235">
        <v>798</v>
      </c>
      <c r="K118" s="235">
        <v>672</v>
      </c>
      <c r="L118" s="235">
        <v>559</v>
      </c>
      <c r="M118" s="235">
        <v>546</v>
      </c>
      <c r="N118" s="235">
        <v>453</v>
      </c>
      <c r="O118" s="235">
        <v>329</v>
      </c>
      <c r="P118" s="232">
        <f t="shared" si="53"/>
        <v>6205</v>
      </c>
    </row>
    <row r="119" spans="2:16" s="14" customFormat="1" ht="15" customHeight="1">
      <c r="B119" s="744"/>
      <c r="C119" s="236" t="s">
        <v>6</v>
      </c>
      <c r="D119" s="237">
        <f t="shared" ref="D119:P119" si="54">SUM(D112:D118)</f>
        <v>14431</v>
      </c>
      <c r="E119" s="237">
        <f t="shared" si="54"/>
        <v>14223</v>
      </c>
      <c r="F119" s="237">
        <f t="shared" si="54"/>
        <v>18388</v>
      </c>
      <c r="G119" s="237">
        <f t="shared" si="54"/>
        <v>22047</v>
      </c>
      <c r="H119" s="237">
        <f t="shared" si="54"/>
        <v>22077</v>
      </c>
      <c r="I119" s="237">
        <f t="shared" si="54"/>
        <v>21805</v>
      </c>
      <c r="J119" s="237">
        <f t="shared" si="54"/>
        <v>22099</v>
      </c>
      <c r="K119" s="237">
        <f t="shared" si="54"/>
        <v>13838</v>
      </c>
      <c r="L119" s="237">
        <f t="shared" si="54"/>
        <v>12969</v>
      </c>
      <c r="M119" s="237">
        <f t="shared" si="54"/>
        <v>13197</v>
      </c>
      <c r="N119" s="237">
        <f t="shared" si="54"/>
        <v>16905</v>
      </c>
      <c r="O119" s="237">
        <f t="shared" si="54"/>
        <v>16524</v>
      </c>
      <c r="P119" s="238">
        <f t="shared" si="54"/>
        <v>208503</v>
      </c>
    </row>
    <row r="120" spans="2:16" s="14" customFormat="1" ht="15" customHeight="1">
      <c r="B120" s="751"/>
      <c r="C120" s="233" t="s">
        <v>31</v>
      </c>
      <c r="D120" s="234">
        <v>90</v>
      </c>
      <c r="E120" s="235">
        <v>71</v>
      </c>
      <c r="F120" s="230">
        <v>4</v>
      </c>
      <c r="G120" s="235">
        <v>0</v>
      </c>
      <c r="H120" s="235">
        <v>0</v>
      </c>
      <c r="I120" s="235">
        <v>0</v>
      </c>
      <c r="J120" s="235">
        <v>0</v>
      </c>
      <c r="K120" s="235">
        <v>0</v>
      </c>
      <c r="L120" s="235">
        <v>0</v>
      </c>
      <c r="M120" s="235">
        <v>0</v>
      </c>
      <c r="N120" s="235">
        <v>0</v>
      </c>
      <c r="O120" s="235">
        <v>0</v>
      </c>
      <c r="P120" s="239">
        <f t="shared" ref="P120:P128" si="55">SUM(D120:O120)</f>
        <v>165</v>
      </c>
    </row>
    <row r="121" spans="2:16" s="14" customFormat="1" ht="15" customHeight="1">
      <c r="B121" s="751"/>
      <c r="C121" s="229" t="s">
        <v>86</v>
      </c>
      <c r="D121" s="230">
        <v>764</v>
      </c>
      <c r="E121" s="231">
        <v>1070</v>
      </c>
      <c r="F121" s="230">
        <v>1483</v>
      </c>
      <c r="G121" s="231">
        <v>1318</v>
      </c>
      <c r="H121" s="231">
        <v>1741</v>
      </c>
      <c r="I121" s="231">
        <v>2312</v>
      </c>
      <c r="J121" s="231">
        <v>1502</v>
      </c>
      <c r="K121" s="231">
        <v>1900</v>
      </c>
      <c r="L121" s="231">
        <v>1765</v>
      </c>
      <c r="M121" s="231">
        <v>1896</v>
      </c>
      <c r="N121" s="231">
        <v>1438</v>
      </c>
      <c r="O121" s="231">
        <v>1315</v>
      </c>
      <c r="P121" s="239">
        <f t="shared" si="55"/>
        <v>18504</v>
      </c>
    </row>
    <row r="122" spans="2:16" s="14" customFormat="1" ht="15" customHeight="1">
      <c r="B122" s="751"/>
      <c r="C122" s="229" t="s">
        <v>104</v>
      </c>
      <c r="D122" s="230">
        <v>216</v>
      </c>
      <c r="E122" s="231">
        <v>132</v>
      </c>
      <c r="F122" s="230">
        <v>0</v>
      </c>
      <c r="G122" s="231">
        <v>0</v>
      </c>
      <c r="H122" s="231">
        <v>0</v>
      </c>
      <c r="I122" s="231">
        <v>0</v>
      </c>
      <c r="J122" s="231">
        <v>0</v>
      </c>
      <c r="K122" s="231">
        <v>0</v>
      </c>
      <c r="L122" s="231">
        <v>-1</v>
      </c>
      <c r="M122" s="231">
        <v>0</v>
      </c>
      <c r="N122" s="231">
        <v>0</v>
      </c>
      <c r="O122" s="231">
        <v>1</v>
      </c>
      <c r="P122" s="239">
        <f t="shared" si="55"/>
        <v>348</v>
      </c>
    </row>
    <row r="123" spans="2:16" s="14" customFormat="1" ht="15" customHeight="1">
      <c r="B123" s="751"/>
      <c r="C123" s="229" t="s">
        <v>348</v>
      </c>
      <c r="D123" s="230"/>
      <c r="E123" s="231"/>
      <c r="F123" s="230"/>
      <c r="G123" s="231"/>
      <c r="H123" s="231"/>
      <c r="I123" s="231"/>
      <c r="J123" s="231"/>
      <c r="K123" s="231">
        <v>1910</v>
      </c>
      <c r="L123" s="231">
        <v>2654</v>
      </c>
      <c r="M123" s="231">
        <v>2762</v>
      </c>
      <c r="N123" s="231">
        <v>2202</v>
      </c>
      <c r="O123" s="231">
        <v>1495</v>
      </c>
      <c r="P123" s="239">
        <f t="shared" si="55"/>
        <v>11023</v>
      </c>
    </row>
    <row r="124" spans="2:16" s="14" customFormat="1" ht="15" customHeight="1">
      <c r="B124" s="751"/>
      <c r="C124" s="229" t="s">
        <v>134</v>
      </c>
      <c r="D124" s="230">
        <v>3982</v>
      </c>
      <c r="E124" s="231">
        <v>3585</v>
      </c>
      <c r="F124" s="230">
        <v>3648</v>
      </c>
      <c r="G124" s="231">
        <v>3491</v>
      </c>
      <c r="H124" s="231">
        <v>3175</v>
      </c>
      <c r="I124" s="231">
        <v>4071</v>
      </c>
      <c r="J124" s="231">
        <v>3152</v>
      </c>
      <c r="K124" s="231">
        <v>2724</v>
      </c>
      <c r="L124" s="231">
        <v>2630</v>
      </c>
      <c r="M124" s="231">
        <v>2429</v>
      </c>
      <c r="N124" s="231">
        <v>3012</v>
      </c>
      <c r="O124" s="231">
        <v>4191</v>
      </c>
      <c r="P124" s="239">
        <f t="shared" si="55"/>
        <v>40090</v>
      </c>
    </row>
    <row r="125" spans="2:16" s="14" customFormat="1" ht="15" customHeight="1">
      <c r="B125" s="751"/>
      <c r="C125" s="229" t="s">
        <v>75</v>
      </c>
      <c r="D125" s="230">
        <v>1143</v>
      </c>
      <c r="E125" s="231">
        <v>1366</v>
      </c>
      <c r="F125" s="230">
        <v>787</v>
      </c>
      <c r="G125" s="231">
        <v>1167</v>
      </c>
      <c r="H125" s="231">
        <v>836</v>
      </c>
      <c r="I125" s="231">
        <v>1187</v>
      </c>
      <c r="J125" s="231">
        <v>3079</v>
      </c>
      <c r="K125" s="231">
        <v>6571</v>
      </c>
      <c r="L125" s="231">
        <v>4386</v>
      </c>
      <c r="M125" s="231">
        <v>4258</v>
      </c>
      <c r="N125" s="231">
        <v>7540</v>
      </c>
      <c r="O125" s="231">
        <v>7442</v>
      </c>
      <c r="P125" s="239">
        <f t="shared" si="55"/>
        <v>39762</v>
      </c>
    </row>
    <row r="126" spans="2:16" s="14" customFormat="1" ht="15" customHeight="1">
      <c r="B126" s="751"/>
      <c r="C126" s="229" t="s">
        <v>83</v>
      </c>
      <c r="D126" s="230">
        <v>7480</v>
      </c>
      <c r="E126" s="231">
        <v>4945</v>
      </c>
      <c r="F126" s="230">
        <v>8357</v>
      </c>
      <c r="G126" s="231">
        <v>6228</v>
      </c>
      <c r="H126" s="231">
        <v>6883</v>
      </c>
      <c r="I126" s="231">
        <v>6081</v>
      </c>
      <c r="J126" s="231">
        <v>6339</v>
      </c>
      <c r="K126" s="231">
        <v>3974</v>
      </c>
      <c r="L126" s="231">
        <v>3820</v>
      </c>
      <c r="M126" s="231">
        <v>5363</v>
      </c>
      <c r="N126" s="231">
        <v>4903</v>
      </c>
      <c r="O126" s="231">
        <v>5561</v>
      </c>
      <c r="P126" s="239">
        <f t="shared" si="55"/>
        <v>69934</v>
      </c>
    </row>
    <row r="127" spans="2:16" s="14" customFormat="1" ht="15" customHeight="1">
      <c r="B127" s="751"/>
      <c r="C127" s="229" t="s">
        <v>67</v>
      </c>
      <c r="D127" s="230">
        <v>896</v>
      </c>
      <c r="E127" s="231">
        <v>975</v>
      </c>
      <c r="F127" s="230">
        <v>1189</v>
      </c>
      <c r="G127" s="231">
        <v>1333</v>
      </c>
      <c r="H127" s="231">
        <v>1243</v>
      </c>
      <c r="I127" s="231">
        <v>932</v>
      </c>
      <c r="J127" s="231">
        <v>971</v>
      </c>
      <c r="K127" s="231">
        <v>665</v>
      </c>
      <c r="L127" s="231">
        <v>528</v>
      </c>
      <c r="M127" s="231">
        <v>588</v>
      </c>
      <c r="N127" s="231">
        <v>529</v>
      </c>
      <c r="O127" s="231">
        <v>1020</v>
      </c>
      <c r="P127" s="232">
        <f t="shared" si="55"/>
        <v>10869</v>
      </c>
    </row>
    <row r="128" spans="2:16" s="14" customFormat="1" ht="15" customHeight="1">
      <c r="B128" s="751"/>
      <c r="C128" s="233" t="s">
        <v>30</v>
      </c>
      <c r="D128" s="234">
        <v>8043</v>
      </c>
      <c r="E128" s="235">
        <v>6153</v>
      </c>
      <c r="F128" s="230">
        <v>9520</v>
      </c>
      <c r="G128" s="235">
        <v>8670</v>
      </c>
      <c r="H128" s="235">
        <v>7219</v>
      </c>
      <c r="I128" s="235">
        <v>6689</v>
      </c>
      <c r="J128" s="235">
        <v>5632</v>
      </c>
      <c r="K128" s="235">
        <v>5611</v>
      </c>
      <c r="L128" s="235">
        <v>3437</v>
      </c>
      <c r="M128" s="235">
        <v>3515</v>
      </c>
      <c r="N128" s="235">
        <v>3395</v>
      </c>
      <c r="O128" s="235">
        <v>5619</v>
      </c>
      <c r="P128" s="232">
        <f t="shared" si="55"/>
        <v>73503</v>
      </c>
    </row>
    <row r="129" spans="2:16" s="14" customFormat="1" ht="15" customHeight="1" thickBot="1">
      <c r="B129" s="752"/>
      <c r="C129" s="236" t="s">
        <v>6</v>
      </c>
      <c r="D129" s="237">
        <f t="shared" ref="D129:P129" si="56">SUM(D120:D128)</f>
        <v>22614</v>
      </c>
      <c r="E129" s="237">
        <f t="shared" si="56"/>
        <v>18297</v>
      </c>
      <c r="F129" s="240">
        <f t="shared" si="56"/>
        <v>24988</v>
      </c>
      <c r="G129" s="237">
        <f t="shared" si="56"/>
        <v>22207</v>
      </c>
      <c r="H129" s="237">
        <f t="shared" si="56"/>
        <v>21097</v>
      </c>
      <c r="I129" s="237">
        <f t="shared" si="56"/>
        <v>21272</v>
      </c>
      <c r="J129" s="237">
        <f t="shared" si="56"/>
        <v>20675</v>
      </c>
      <c r="K129" s="237">
        <f t="shared" si="56"/>
        <v>23355</v>
      </c>
      <c r="L129" s="237">
        <f t="shared" si="56"/>
        <v>19219</v>
      </c>
      <c r="M129" s="237">
        <f t="shared" si="56"/>
        <v>20811</v>
      </c>
      <c r="N129" s="237">
        <f t="shared" si="56"/>
        <v>23019</v>
      </c>
      <c r="O129" s="237">
        <f t="shared" si="56"/>
        <v>26644</v>
      </c>
      <c r="P129" s="238">
        <f t="shared" si="56"/>
        <v>264198</v>
      </c>
    </row>
    <row r="130" spans="2:16" s="14" customFormat="1" ht="15" customHeight="1">
      <c r="B130" s="741" t="s">
        <v>36</v>
      </c>
      <c r="C130" s="241" t="s">
        <v>152</v>
      </c>
      <c r="D130" s="242">
        <v>4330</v>
      </c>
      <c r="E130" s="243">
        <v>4918</v>
      </c>
      <c r="F130" s="244">
        <v>7491</v>
      </c>
      <c r="G130" s="243">
        <v>6697</v>
      </c>
      <c r="H130" s="243">
        <v>4586</v>
      </c>
      <c r="I130" s="243">
        <v>5929</v>
      </c>
      <c r="J130" s="243">
        <v>5163</v>
      </c>
      <c r="K130" s="243">
        <v>3609</v>
      </c>
      <c r="L130" s="243">
        <v>3467</v>
      </c>
      <c r="M130" s="243">
        <v>3515</v>
      </c>
      <c r="N130" s="243">
        <v>5916</v>
      </c>
      <c r="O130" s="243">
        <v>4108</v>
      </c>
      <c r="P130" s="245">
        <f>SUM(D130:O130)</f>
        <v>59729</v>
      </c>
    </row>
    <row r="131" spans="2:16" s="14" customFormat="1" ht="15" customHeight="1">
      <c r="B131" s="742"/>
      <c r="C131" s="246" t="s">
        <v>38</v>
      </c>
      <c r="D131" s="247">
        <v>31</v>
      </c>
      <c r="E131" s="248">
        <v>31</v>
      </c>
      <c r="F131" s="230">
        <v>37</v>
      </c>
      <c r="G131" s="248">
        <v>39</v>
      </c>
      <c r="H131" s="248">
        <v>30</v>
      </c>
      <c r="I131" s="248">
        <v>52</v>
      </c>
      <c r="J131" s="248">
        <v>47</v>
      </c>
      <c r="K131" s="248">
        <v>17</v>
      </c>
      <c r="L131" s="248">
        <v>16</v>
      </c>
      <c r="M131" s="248">
        <v>41</v>
      </c>
      <c r="N131" s="248">
        <v>69</v>
      </c>
      <c r="O131" s="248">
        <v>68</v>
      </c>
      <c r="P131" s="249">
        <f>SUM(D131:O131)</f>
        <v>478</v>
      </c>
    </row>
    <row r="132" spans="2:16" s="14" customFormat="1" ht="15" customHeight="1">
      <c r="B132" s="742"/>
      <c r="C132" s="246" t="s">
        <v>361</v>
      </c>
      <c r="D132" s="247">
        <v>75</v>
      </c>
      <c r="E132" s="248">
        <v>114</v>
      </c>
      <c r="F132" s="230">
        <v>107</v>
      </c>
      <c r="G132" s="248">
        <v>138</v>
      </c>
      <c r="H132" s="248">
        <v>111</v>
      </c>
      <c r="I132" s="248">
        <v>222</v>
      </c>
      <c r="J132" s="248">
        <v>176</v>
      </c>
      <c r="K132" s="248">
        <v>184</v>
      </c>
      <c r="L132" s="248">
        <v>130</v>
      </c>
      <c r="M132" s="248">
        <v>273</v>
      </c>
      <c r="N132" s="248">
        <v>133</v>
      </c>
      <c r="O132" s="248">
        <v>445</v>
      </c>
      <c r="P132" s="249">
        <f>SUM(D132:O132)</f>
        <v>2108</v>
      </c>
    </row>
    <row r="133" spans="2:16" s="14" customFormat="1" ht="15" customHeight="1" thickBot="1">
      <c r="B133" s="743"/>
      <c r="C133" s="250" t="s">
        <v>6</v>
      </c>
      <c r="D133" s="251">
        <f t="shared" ref="D133:P133" si="57">SUM(D130:D132)</f>
        <v>4436</v>
      </c>
      <c r="E133" s="251">
        <f t="shared" si="57"/>
        <v>5063</v>
      </c>
      <c r="F133" s="251">
        <f t="shared" si="57"/>
        <v>7635</v>
      </c>
      <c r="G133" s="251">
        <f t="shared" si="57"/>
        <v>6874</v>
      </c>
      <c r="H133" s="251">
        <f t="shared" si="57"/>
        <v>4727</v>
      </c>
      <c r="I133" s="251">
        <f t="shared" si="57"/>
        <v>6203</v>
      </c>
      <c r="J133" s="251">
        <f t="shared" si="57"/>
        <v>5386</v>
      </c>
      <c r="K133" s="251">
        <f t="shared" si="57"/>
        <v>3810</v>
      </c>
      <c r="L133" s="251">
        <f t="shared" si="57"/>
        <v>3613</v>
      </c>
      <c r="M133" s="251">
        <f t="shared" si="57"/>
        <v>3829</v>
      </c>
      <c r="N133" s="251">
        <f t="shared" si="57"/>
        <v>6118</v>
      </c>
      <c r="O133" s="251">
        <f t="shared" si="57"/>
        <v>4621</v>
      </c>
      <c r="P133" s="252">
        <f t="shared" si="57"/>
        <v>62315</v>
      </c>
    </row>
    <row r="134" spans="2:16" s="14" customFormat="1" ht="15" customHeight="1" thickBot="1">
      <c r="B134" s="733" t="s">
        <v>40</v>
      </c>
      <c r="C134" s="734"/>
      <c r="D134" s="253">
        <f t="shared" ref="D134:P134" si="58">D119+D129+D133</f>
        <v>41481</v>
      </c>
      <c r="E134" s="253">
        <f t="shared" si="58"/>
        <v>37583</v>
      </c>
      <c r="F134" s="253">
        <f t="shared" si="58"/>
        <v>51011</v>
      </c>
      <c r="G134" s="253">
        <f t="shared" si="58"/>
        <v>51128</v>
      </c>
      <c r="H134" s="253">
        <f t="shared" si="58"/>
        <v>47901</v>
      </c>
      <c r="I134" s="253">
        <f t="shared" si="58"/>
        <v>49280</v>
      </c>
      <c r="J134" s="253">
        <f t="shared" si="58"/>
        <v>48160</v>
      </c>
      <c r="K134" s="253">
        <f t="shared" si="58"/>
        <v>41003</v>
      </c>
      <c r="L134" s="253">
        <f t="shared" si="58"/>
        <v>35801</v>
      </c>
      <c r="M134" s="253">
        <f t="shared" si="58"/>
        <v>37837</v>
      </c>
      <c r="N134" s="253">
        <f t="shared" si="58"/>
        <v>46042</v>
      </c>
      <c r="O134" s="253">
        <f t="shared" si="58"/>
        <v>47789</v>
      </c>
      <c r="P134" s="254">
        <f t="shared" si="58"/>
        <v>535016</v>
      </c>
    </row>
    <row r="135" spans="2:16" s="14" customFormat="1" ht="15" customHeight="1">
      <c r="B135" s="505"/>
      <c r="C135" s="505"/>
      <c r="D135" s="506"/>
      <c r="E135" s="506"/>
      <c r="F135" s="506"/>
      <c r="G135" s="506"/>
      <c r="H135" s="506"/>
      <c r="I135" s="506"/>
      <c r="J135" s="506"/>
      <c r="K135" s="506"/>
      <c r="L135" s="506"/>
      <c r="M135" s="506"/>
      <c r="N135" s="506"/>
      <c r="O135" s="506"/>
      <c r="P135" s="506"/>
    </row>
    <row r="136" spans="2:16" s="14" customFormat="1" ht="15" customHeight="1">
      <c r="B136" s="176"/>
      <c r="C136" s="176"/>
      <c r="D136" s="75"/>
      <c r="E136" s="75"/>
      <c r="F136" s="75"/>
      <c r="G136" s="75"/>
      <c r="H136" s="75"/>
      <c r="I136" s="75"/>
      <c r="J136" s="75"/>
      <c r="K136" s="75"/>
      <c r="L136" s="75"/>
      <c r="M136" s="177"/>
      <c r="N136" s="177"/>
      <c r="O136" s="177"/>
      <c r="P136" s="75"/>
    </row>
    <row r="137" spans="2:16" s="14" customFormat="1" ht="15" customHeight="1">
      <c r="B137" s="178" t="s">
        <v>26</v>
      </c>
      <c r="C137" s="179"/>
      <c r="D137" s="180">
        <f t="shared" ref="D137:P137" si="59">D115</f>
        <v>5440</v>
      </c>
      <c r="E137" s="180">
        <f t="shared" si="59"/>
        <v>5547</v>
      </c>
      <c r="F137" s="180">
        <f t="shared" si="59"/>
        <v>6882</v>
      </c>
      <c r="G137" s="180">
        <f t="shared" si="59"/>
        <v>6607</v>
      </c>
      <c r="H137" s="180">
        <f t="shared" si="59"/>
        <v>6034</v>
      </c>
      <c r="I137" s="180">
        <f t="shared" si="59"/>
        <v>5835</v>
      </c>
      <c r="J137" s="180">
        <f t="shared" si="59"/>
        <v>5777</v>
      </c>
      <c r="K137" s="180">
        <f t="shared" si="59"/>
        <v>4368</v>
      </c>
      <c r="L137" s="180">
        <f t="shared" si="59"/>
        <v>1998</v>
      </c>
      <c r="M137" s="180">
        <f t="shared" si="59"/>
        <v>1936</v>
      </c>
      <c r="N137" s="180">
        <f t="shared" si="59"/>
        <v>4483</v>
      </c>
      <c r="O137" s="180">
        <f t="shared" si="59"/>
        <v>4592</v>
      </c>
      <c r="P137" s="180">
        <f t="shared" si="59"/>
        <v>59499</v>
      </c>
    </row>
    <row r="138" spans="2:16" s="14" customFormat="1" ht="15" customHeight="1">
      <c r="B138" s="185"/>
      <c r="C138" s="182" t="s">
        <v>71</v>
      </c>
      <c r="D138" s="183">
        <v>323</v>
      </c>
      <c r="E138" s="183">
        <v>319</v>
      </c>
      <c r="F138" s="183">
        <v>553</v>
      </c>
      <c r="G138" s="183">
        <v>633</v>
      </c>
      <c r="H138" s="183">
        <v>507</v>
      </c>
      <c r="I138" s="183">
        <v>580</v>
      </c>
      <c r="J138" s="183">
        <v>572</v>
      </c>
      <c r="K138" s="183">
        <v>269</v>
      </c>
      <c r="L138" s="183">
        <v>1</v>
      </c>
      <c r="M138" s="183"/>
      <c r="N138" s="183"/>
      <c r="O138" s="183"/>
      <c r="P138" s="184">
        <f>SUM(D138:O138)</f>
        <v>3757</v>
      </c>
    </row>
    <row r="139" spans="2:16" s="14" customFormat="1" ht="15" customHeight="1">
      <c r="B139" s="185"/>
      <c r="C139" s="182" t="s">
        <v>90</v>
      </c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4">
        <f>SUM(D139:O139)</f>
        <v>0</v>
      </c>
    </row>
    <row r="140" spans="2:16" s="14" customFormat="1" ht="15" customHeight="1">
      <c r="B140" s="185"/>
      <c r="C140" s="182" t="s">
        <v>136</v>
      </c>
      <c r="D140" s="183">
        <v>4048</v>
      </c>
      <c r="E140" s="183">
        <v>4384</v>
      </c>
      <c r="F140" s="183">
        <v>5223</v>
      </c>
      <c r="G140" s="183">
        <f>G137-G138-G141</f>
        <v>4737</v>
      </c>
      <c r="H140" s="183">
        <v>4554</v>
      </c>
      <c r="I140" s="183">
        <v>4313</v>
      </c>
      <c r="J140" s="183">
        <v>4340</v>
      </c>
      <c r="K140" s="183">
        <v>3547</v>
      </c>
      <c r="L140" s="183">
        <v>1454</v>
      </c>
      <c r="M140" s="183">
        <v>1352</v>
      </c>
      <c r="N140" s="183">
        <v>3265</v>
      </c>
      <c r="O140" s="183">
        <v>3725</v>
      </c>
      <c r="P140" s="294">
        <f>SUM(D140:O140)</f>
        <v>44942</v>
      </c>
    </row>
    <row r="141" spans="2:16" s="14" customFormat="1" ht="15" customHeight="1">
      <c r="B141" s="186"/>
      <c r="C141" s="182" t="s">
        <v>137</v>
      </c>
      <c r="D141" s="183">
        <v>1069</v>
      </c>
      <c r="E141" s="183">
        <v>844</v>
      </c>
      <c r="F141" s="183">
        <v>1106</v>
      </c>
      <c r="G141" s="183">
        <v>1237</v>
      </c>
      <c r="H141" s="183">
        <v>973</v>
      </c>
      <c r="I141" s="183">
        <v>942</v>
      </c>
      <c r="J141" s="183">
        <v>865</v>
      </c>
      <c r="K141" s="183">
        <v>552</v>
      </c>
      <c r="L141" s="183">
        <v>543</v>
      </c>
      <c r="M141" s="183">
        <v>584</v>
      </c>
      <c r="N141" s="183">
        <v>1218</v>
      </c>
      <c r="O141" s="183">
        <v>867</v>
      </c>
      <c r="P141" s="294">
        <f>SUM(D141:O141)</f>
        <v>10800</v>
      </c>
    </row>
    <row r="142" spans="2:16" s="14" customFormat="1" ht="15" customHeight="1">
      <c r="B142" s="187"/>
      <c r="C142" s="188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</row>
    <row r="143" spans="2:16" s="14" customFormat="1" ht="15" customHeight="1">
      <c r="B143" s="178" t="s">
        <v>335</v>
      </c>
      <c r="C143" s="179"/>
      <c r="D143" s="180">
        <f t="shared" ref="D143:P143" si="60">D116</f>
        <v>1709</v>
      </c>
      <c r="E143" s="180">
        <f t="shared" si="60"/>
        <v>1528</v>
      </c>
      <c r="F143" s="180">
        <f t="shared" si="60"/>
        <v>2474</v>
      </c>
      <c r="G143" s="180">
        <f t="shared" si="60"/>
        <v>5017</v>
      </c>
      <c r="H143" s="180">
        <f t="shared" si="60"/>
        <v>5565</v>
      </c>
      <c r="I143" s="180">
        <f t="shared" si="60"/>
        <v>5473</v>
      </c>
      <c r="J143" s="180">
        <f t="shared" si="60"/>
        <v>6008</v>
      </c>
      <c r="K143" s="180">
        <f t="shared" si="60"/>
        <v>3170</v>
      </c>
      <c r="L143" s="180">
        <f t="shared" si="60"/>
        <v>3188</v>
      </c>
      <c r="M143" s="180">
        <f t="shared" si="60"/>
        <v>4181</v>
      </c>
      <c r="N143" s="180">
        <f t="shared" si="60"/>
        <v>4417</v>
      </c>
      <c r="O143" s="180">
        <f t="shared" si="60"/>
        <v>4011</v>
      </c>
      <c r="P143" s="180">
        <f t="shared" si="60"/>
        <v>46741</v>
      </c>
    </row>
    <row r="144" spans="2:16" s="14" customFormat="1" ht="15" customHeight="1">
      <c r="B144" s="181"/>
      <c r="C144" s="298" t="s">
        <v>336</v>
      </c>
      <c r="D144" s="299"/>
      <c r="E144" s="299"/>
      <c r="F144" s="299"/>
      <c r="G144" s="299">
        <v>4587</v>
      </c>
      <c r="H144" s="299">
        <v>4072</v>
      </c>
      <c r="I144" s="299">
        <f>I143-I145-I146-I147</f>
        <v>3313</v>
      </c>
      <c r="J144" s="299">
        <f t="shared" ref="J144:O144" si="61">J143-J145-J146-J147</f>
        <v>3180</v>
      </c>
      <c r="K144" s="299">
        <f t="shared" si="61"/>
        <v>1182</v>
      </c>
      <c r="L144" s="299">
        <f t="shared" si="61"/>
        <v>1556</v>
      </c>
      <c r="M144" s="299">
        <f t="shared" si="61"/>
        <v>1997</v>
      </c>
      <c r="N144" s="299">
        <f t="shared" si="61"/>
        <v>2735</v>
      </c>
      <c r="O144" s="299">
        <f t="shared" si="61"/>
        <v>1749</v>
      </c>
      <c r="P144" s="299">
        <f>SUM(D144:O144)</f>
        <v>24371</v>
      </c>
    </row>
    <row r="145" spans="2:16" s="14" customFormat="1" ht="15" customHeight="1">
      <c r="B145" s="181"/>
      <c r="C145" s="298" t="s">
        <v>338</v>
      </c>
      <c r="D145" s="299"/>
      <c r="E145" s="299"/>
      <c r="F145" s="299"/>
      <c r="G145" s="299"/>
      <c r="H145" s="299">
        <v>1492</v>
      </c>
      <c r="I145" s="299">
        <v>2160</v>
      </c>
      <c r="J145" s="299">
        <v>2829</v>
      </c>
      <c r="K145" s="299">
        <v>1988</v>
      </c>
      <c r="L145" s="299">
        <v>1632</v>
      </c>
      <c r="M145" s="299">
        <v>2183</v>
      </c>
      <c r="N145" s="299">
        <v>1682</v>
      </c>
      <c r="O145" s="299">
        <v>2262</v>
      </c>
      <c r="P145" s="299">
        <f>SUM(D145:O145)</f>
        <v>16228</v>
      </c>
    </row>
    <row r="146" spans="2:16" s="14" customFormat="1" ht="15" customHeight="1">
      <c r="B146" s="181"/>
      <c r="C146" s="182" t="s">
        <v>85</v>
      </c>
      <c r="D146" s="191">
        <f>D143-D147-D144</f>
        <v>1357</v>
      </c>
      <c r="E146" s="191">
        <f>E143-E147-E144</f>
        <v>1152</v>
      </c>
      <c r="F146" s="191">
        <f>F143-F147-F144</f>
        <v>1566</v>
      </c>
      <c r="G146" s="191">
        <f>G143-G147-G144</f>
        <v>193</v>
      </c>
      <c r="H146" s="191">
        <f>H143-H144-H145-H147</f>
        <v>1</v>
      </c>
      <c r="I146" s="191">
        <v>0</v>
      </c>
      <c r="J146" s="191">
        <v>-1</v>
      </c>
      <c r="K146" s="191"/>
      <c r="L146" s="191"/>
      <c r="M146" s="191">
        <v>1</v>
      </c>
      <c r="N146" s="191"/>
      <c r="O146" s="191"/>
      <c r="P146" s="184">
        <f>SUM(D146:O146)</f>
        <v>4269</v>
      </c>
    </row>
    <row r="147" spans="2:16" s="14" customFormat="1" ht="15" customHeight="1">
      <c r="B147" s="186"/>
      <c r="C147" s="182" t="s">
        <v>96</v>
      </c>
      <c r="D147" s="183">
        <v>352</v>
      </c>
      <c r="E147" s="183">
        <v>376</v>
      </c>
      <c r="F147" s="183">
        <v>908</v>
      </c>
      <c r="G147" s="183">
        <v>237</v>
      </c>
      <c r="H147" s="183">
        <v>0</v>
      </c>
      <c r="I147" s="183">
        <v>0</v>
      </c>
      <c r="J147" s="183">
        <v>0</v>
      </c>
      <c r="K147" s="183"/>
      <c r="L147" s="183"/>
      <c r="M147" s="183"/>
      <c r="N147" s="183"/>
      <c r="O147" s="183"/>
      <c r="P147" s="184">
        <f>SUM(D147:O147)</f>
        <v>1873</v>
      </c>
    </row>
    <row r="148" spans="2:16" s="14" customFormat="1" ht="15" customHeight="1">
      <c r="B148" s="187"/>
      <c r="C148" s="188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90"/>
    </row>
    <row r="149" spans="2:16" s="14" customFormat="1" ht="15" customHeight="1">
      <c r="B149" s="178" t="s">
        <v>86</v>
      </c>
      <c r="C149" s="179"/>
      <c r="D149" s="180">
        <f t="shared" ref="D149:O149" si="62">D121</f>
        <v>764</v>
      </c>
      <c r="E149" s="180">
        <f t="shared" si="62"/>
        <v>1070</v>
      </c>
      <c r="F149" s="180">
        <f t="shared" si="62"/>
        <v>1483</v>
      </c>
      <c r="G149" s="180">
        <f t="shared" si="62"/>
        <v>1318</v>
      </c>
      <c r="H149" s="180">
        <f t="shared" si="62"/>
        <v>1741</v>
      </c>
      <c r="I149" s="180">
        <f t="shared" si="62"/>
        <v>2312</v>
      </c>
      <c r="J149" s="180">
        <f t="shared" si="62"/>
        <v>1502</v>
      </c>
      <c r="K149" s="180">
        <f t="shared" si="62"/>
        <v>1900</v>
      </c>
      <c r="L149" s="180">
        <f t="shared" si="62"/>
        <v>1765</v>
      </c>
      <c r="M149" s="180">
        <f t="shared" si="62"/>
        <v>1896</v>
      </c>
      <c r="N149" s="180">
        <f t="shared" si="62"/>
        <v>1438</v>
      </c>
      <c r="O149" s="180">
        <f t="shared" si="62"/>
        <v>1315</v>
      </c>
      <c r="P149" s="180">
        <f>SUM(D149:O149)</f>
        <v>18504</v>
      </c>
    </row>
    <row r="150" spans="2:16" s="14" customFormat="1" ht="15" customHeight="1">
      <c r="B150" s="181"/>
      <c r="C150" s="182" t="s">
        <v>350</v>
      </c>
      <c r="D150" s="183">
        <f t="shared" ref="D150:N150" si="63">D149-D151</f>
        <v>674</v>
      </c>
      <c r="E150" s="183">
        <f t="shared" si="63"/>
        <v>906</v>
      </c>
      <c r="F150" s="183">
        <f t="shared" si="63"/>
        <v>864</v>
      </c>
      <c r="G150" s="183">
        <f t="shared" si="63"/>
        <v>926</v>
      </c>
      <c r="H150" s="183">
        <f t="shared" si="63"/>
        <v>714</v>
      </c>
      <c r="I150" s="183">
        <f t="shared" si="63"/>
        <v>1018</v>
      </c>
      <c r="J150" s="183">
        <f t="shared" si="63"/>
        <v>717</v>
      </c>
      <c r="K150" s="183">
        <f t="shared" si="63"/>
        <v>862</v>
      </c>
      <c r="L150" s="183">
        <f t="shared" si="63"/>
        <v>1054</v>
      </c>
      <c r="M150" s="183">
        <f t="shared" si="63"/>
        <v>1209</v>
      </c>
      <c r="N150" s="183">
        <f t="shared" si="63"/>
        <v>1152</v>
      </c>
      <c r="O150" s="183">
        <f>O149-O151</f>
        <v>1188</v>
      </c>
      <c r="P150" s="184">
        <f>SUM(D150:O150)</f>
        <v>11284</v>
      </c>
    </row>
    <row r="151" spans="2:16" s="14" customFormat="1" ht="15" customHeight="1">
      <c r="B151" s="186"/>
      <c r="C151" s="182" t="s">
        <v>118</v>
      </c>
      <c r="D151" s="183">
        <v>90</v>
      </c>
      <c r="E151" s="183">
        <v>164</v>
      </c>
      <c r="F151" s="183">
        <v>619</v>
      </c>
      <c r="G151" s="183">
        <v>392</v>
      </c>
      <c r="H151" s="183">
        <v>1027</v>
      </c>
      <c r="I151" s="183">
        <v>1294</v>
      </c>
      <c r="J151" s="183">
        <v>785</v>
      </c>
      <c r="K151" s="183">
        <v>1038</v>
      </c>
      <c r="L151" s="183">
        <v>711</v>
      </c>
      <c r="M151" s="183">
        <v>687</v>
      </c>
      <c r="N151" s="183">
        <v>286</v>
      </c>
      <c r="O151" s="183">
        <v>127</v>
      </c>
      <c r="P151" s="184">
        <f>SUM(D151:O151)</f>
        <v>7220</v>
      </c>
    </row>
    <row r="152" spans="2:16" s="14" customFormat="1" ht="15" customHeight="1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2:16" s="14" customFormat="1" ht="15" customHeight="1">
      <c r="B153" s="178" t="s">
        <v>31</v>
      </c>
      <c r="C153" s="179"/>
      <c r="D153" s="180">
        <f t="shared" ref="D153:O153" si="64">D120</f>
        <v>90</v>
      </c>
      <c r="E153" s="180">
        <f t="shared" si="64"/>
        <v>71</v>
      </c>
      <c r="F153" s="180">
        <f t="shared" si="64"/>
        <v>4</v>
      </c>
      <c r="G153" s="180">
        <f t="shared" si="64"/>
        <v>0</v>
      </c>
      <c r="H153" s="180">
        <f t="shared" si="64"/>
        <v>0</v>
      </c>
      <c r="I153" s="180">
        <f t="shared" si="64"/>
        <v>0</v>
      </c>
      <c r="J153" s="180">
        <f t="shared" si="64"/>
        <v>0</v>
      </c>
      <c r="K153" s="180">
        <f t="shared" si="64"/>
        <v>0</v>
      </c>
      <c r="L153" s="180">
        <f t="shared" si="64"/>
        <v>0</v>
      </c>
      <c r="M153" s="180">
        <f t="shared" si="64"/>
        <v>0</v>
      </c>
      <c r="N153" s="180">
        <f t="shared" si="64"/>
        <v>0</v>
      </c>
      <c r="O153" s="180">
        <f t="shared" si="64"/>
        <v>0</v>
      </c>
      <c r="P153" s="180">
        <f>SUM(D153:O153)</f>
        <v>165</v>
      </c>
    </row>
    <row r="154" spans="2:16" s="14" customFormat="1" ht="15" customHeight="1">
      <c r="B154" s="181"/>
      <c r="C154" s="182" t="s">
        <v>140</v>
      </c>
      <c r="D154" s="183">
        <f>D153-D155</f>
        <v>89</v>
      </c>
      <c r="E154" s="183">
        <f t="shared" ref="E154:O154" si="65">E153-E155</f>
        <v>48</v>
      </c>
      <c r="F154" s="183">
        <f t="shared" si="65"/>
        <v>1</v>
      </c>
      <c r="G154" s="183">
        <f t="shared" si="65"/>
        <v>0</v>
      </c>
      <c r="H154" s="183">
        <f t="shared" si="65"/>
        <v>0</v>
      </c>
      <c r="I154" s="183">
        <f t="shared" si="65"/>
        <v>0</v>
      </c>
      <c r="J154" s="183">
        <f t="shared" si="65"/>
        <v>0</v>
      </c>
      <c r="K154" s="183">
        <f t="shared" si="65"/>
        <v>0</v>
      </c>
      <c r="L154" s="183">
        <f t="shared" si="65"/>
        <v>0</v>
      </c>
      <c r="M154" s="183">
        <f t="shared" si="65"/>
        <v>0</v>
      </c>
      <c r="N154" s="183">
        <f t="shared" si="65"/>
        <v>0</v>
      </c>
      <c r="O154" s="183">
        <f t="shared" si="65"/>
        <v>0</v>
      </c>
      <c r="P154" s="184">
        <f>SUM(D154:O154)</f>
        <v>138</v>
      </c>
    </row>
    <row r="155" spans="2:16" s="14" customFormat="1" ht="15" customHeight="1">
      <c r="B155" s="186"/>
      <c r="C155" s="182" t="s">
        <v>141</v>
      </c>
      <c r="D155" s="183">
        <v>1</v>
      </c>
      <c r="E155" s="183">
        <v>23</v>
      </c>
      <c r="F155" s="183">
        <v>3</v>
      </c>
      <c r="G155" s="183">
        <v>0</v>
      </c>
      <c r="H155" s="183">
        <v>0</v>
      </c>
      <c r="I155" s="183">
        <v>0</v>
      </c>
      <c r="J155" s="183">
        <v>0</v>
      </c>
      <c r="K155" s="183"/>
      <c r="L155" s="183"/>
      <c r="M155" s="183"/>
      <c r="N155" s="183"/>
      <c r="O155" s="183"/>
      <c r="P155" s="184">
        <f>SUM(D155:O155)</f>
        <v>27</v>
      </c>
    </row>
    <row r="156" spans="2:16" s="14" customFormat="1" ht="15" customHeight="1">
      <c r="B156" s="297"/>
      <c r="C156" s="188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</row>
    <row r="157" spans="2:16" s="14" customFormat="1" ht="15" customHeight="1">
      <c r="B157" s="178" t="s">
        <v>73</v>
      </c>
      <c r="C157" s="179"/>
      <c r="D157" s="180">
        <f t="shared" ref="D157:O157" si="66">D125</f>
        <v>1143</v>
      </c>
      <c r="E157" s="180">
        <f t="shared" si="66"/>
        <v>1366</v>
      </c>
      <c r="F157" s="180">
        <f t="shared" si="66"/>
        <v>787</v>
      </c>
      <c r="G157" s="180">
        <f t="shared" si="66"/>
        <v>1167</v>
      </c>
      <c r="H157" s="180">
        <f t="shared" si="66"/>
        <v>836</v>
      </c>
      <c r="I157" s="180">
        <f t="shared" si="66"/>
        <v>1187</v>
      </c>
      <c r="J157" s="180">
        <f t="shared" si="66"/>
        <v>3079</v>
      </c>
      <c r="K157" s="180">
        <f t="shared" si="66"/>
        <v>6571</v>
      </c>
      <c r="L157" s="180">
        <f t="shared" si="66"/>
        <v>4386</v>
      </c>
      <c r="M157" s="180">
        <f t="shared" si="66"/>
        <v>4258</v>
      </c>
      <c r="N157" s="180">
        <f t="shared" si="66"/>
        <v>7540</v>
      </c>
      <c r="O157" s="180">
        <f t="shared" si="66"/>
        <v>7442</v>
      </c>
      <c r="P157" s="180">
        <f>SUM(D157:O157)</f>
        <v>39762</v>
      </c>
    </row>
    <row r="158" spans="2:16" s="14" customFormat="1" ht="15" customHeight="1">
      <c r="B158" s="181"/>
      <c r="C158" s="182" t="s">
        <v>341</v>
      </c>
      <c r="D158" s="183">
        <f>D157-D159-D160</f>
        <v>1143</v>
      </c>
      <c r="E158" s="183">
        <f t="shared" ref="E158:L158" si="67">E157-E159-E160</f>
        <v>1366</v>
      </c>
      <c r="F158" s="183">
        <f t="shared" si="67"/>
        <v>787</v>
      </c>
      <c r="G158" s="183">
        <f t="shared" si="67"/>
        <v>1167</v>
      </c>
      <c r="H158" s="183">
        <f t="shared" si="67"/>
        <v>836</v>
      </c>
      <c r="I158" s="183">
        <f t="shared" si="67"/>
        <v>1187</v>
      </c>
      <c r="J158" s="183">
        <f t="shared" si="67"/>
        <v>652</v>
      </c>
      <c r="K158" s="183">
        <f t="shared" si="67"/>
        <v>22</v>
      </c>
      <c r="L158" s="183">
        <f t="shared" si="67"/>
        <v>0</v>
      </c>
      <c r="M158" s="183"/>
      <c r="N158" s="183">
        <v>0</v>
      </c>
      <c r="O158" s="183">
        <v>0</v>
      </c>
      <c r="P158" s="184">
        <f>SUM(D158:O158)</f>
        <v>7160</v>
      </c>
    </row>
    <row r="159" spans="2:16" s="14" customFormat="1" ht="15" customHeight="1">
      <c r="B159" s="185"/>
      <c r="C159" s="182" t="s">
        <v>342</v>
      </c>
      <c r="D159" s="183"/>
      <c r="E159" s="183"/>
      <c r="F159" s="183"/>
      <c r="G159" s="183"/>
      <c r="H159" s="183"/>
      <c r="I159" s="183"/>
      <c r="J159" s="183">
        <v>2427</v>
      </c>
      <c r="K159" s="183">
        <v>5186</v>
      </c>
      <c r="L159" s="183">
        <v>3327</v>
      </c>
      <c r="M159" s="183">
        <f>M157-M158-M160</f>
        <v>2695</v>
      </c>
      <c r="N159" s="183">
        <f>N157-N158-N160</f>
        <v>5632</v>
      </c>
      <c r="O159" s="183">
        <f>O157-O158-O160</f>
        <v>5759</v>
      </c>
      <c r="P159" s="184">
        <f>SUM(D159:O159)</f>
        <v>25026</v>
      </c>
    </row>
    <row r="160" spans="2:16" s="14" customFormat="1" ht="15" customHeight="1">
      <c r="B160" s="186"/>
      <c r="C160" s="182" t="s">
        <v>343</v>
      </c>
      <c r="D160" s="183"/>
      <c r="E160" s="183"/>
      <c r="F160" s="183"/>
      <c r="G160" s="183"/>
      <c r="H160" s="183"/>
      <c r="I160" s="183"/>
      <c r="J160" s="183"/>
      <c r="K160" s="183">
        <v>1363</v>
      </c>
      <c r="L160" s="183">
        <v>1059</v>
      </c>
      <c r="M160" s="183">
        <v>1563</v>
      </c>
      <c r="N160" s="183">
        <v>1908</v>
      </c>
      <c r="O160" s="183">
        <v>1683</v>
      </c>
      <c r="P160" s="184">
        <f>SUM(D160:O160)</f>
        <v>7576</v>
      </c>
    </row>
    <row r="161" spans="2:16" s="14" customFormat="1" ht="15" customHeight="1">
      <c r="B161" s="297"/>
      <c r="C161" s="188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90"/>
    </row>
    <row r="162" spans="2:16" s="14" customFormat="1" ht="15" customHeight="1">
      <c r="B162" s="178" t="s">
        <v>151</v>
      </c>
      <c r="C162" s="179"/>
      <c r="D162" s="180">
        <f t="shared" ref="D162:O162" si="68">D126</f>
        <v>7480</v>
      </c>
      <c r="E162" s="180">
        <f t="shared" si="68"/>
        <v>4945</v>
      </c>
      <c r="F162" s="180">
        <f t="shared" si="68"/>
        <v>8357</v>
      </c>
      <c r="G162" s="180">
        <f t="shared" si="68"/>
        <v>6228</v>
      </c>
      <c r="H162" s="180">
        <f t="shared" si="68"/>
        <v>6883</v>
      </c>
      <c r="I162" s="180">
        <f t="shared" si="68"/>
        <v>6081</v>
      </c>
      <c r="J162" s="180">
        <f t="shared" si="68"/>
        <v>6339</v>
      </c>
      <c r="K162" s="180">
        <f t="shared" si="68"/>
        <v>3974</v>
      </c>
      <c r="L162" s="180">
        <f t="shared" si="68"/>
        <v>3820</v>
      </c>
      <c r="M162" s="180">
        <f t="shared" si="68"/>
        <v>5363</v>
      </c>
      <c r="N162" s="180">
        <f t="shared" si="68"/>
        <v>4903</v>
      </c>
      <c r="O162" s="180">
        <f t="shared" si="68"/>
        <v>5561</v>
      </c>
      <c r="P162" s="180">
        <f t="shared" ref="P162:P168" si="69">SUM(D162:O162)</f>
        <v>69934</v>
      </c>
    </row>
    <row r="163" spans="2:16" s="14" customFormat="1" ht="15" customHeight="1">
      <c r="B163" s="181"/>
      <c r="C163" s="182" t="s">
        <v>159</v>
      </c>
      <c r="D163" s="183">
        <f>D162-D164</f>
        <v>3685</v>
      </c>
      <c r="E163" s="183">
        <f t="shared" ref="E163:O163" si="70">E162-E164</f>
        <v>2426</v>
      </c>
      <c r="F163" s="183">
        <f t="shared" si="70"/>
        <v>4481</v>
      </c>
      <c r="G163" s="183">
        <f t="shared" si="70"/>
        <v>2926</v>
      </c>
      <c r="H163" s="183">
        <f t="shared" si="70"/>
        <v>4399</v>
      </c>
      <c r="I163" s="183">
        <f t="shared" si="70"/>
        <v>4368</v>
      </c>
      <c r="J163" s="183">
        <f t="shared" si="70"/>
        <v>3338</v>
      </c>
      <c r="K163" s="183">
        <f t="shared" si="70"/>
        <v>1980</v>
      </c>
      <c r="L163" s="183">
        <f t="shared" si="70"/>
        <v>1500</v>
      </c>
      <c r="M163" s="183">
        <f t="shared" si="70"/>
        <v>2450</v>
      </c>
      <c r="N163" s="183">
        <f t="shared" si="70"/>
        <v>2505</v>
      </c>
      <c r="O163" s="183">
        <f t="shared" si="70"/>
        <v>2894</v>
      </c>
      <c r="P163" s="184">
        <f t="shared" si="69"/>
        <v>36952</v>
      </c>
    </row>
    <row r="164" spans="2:16" s="14" customFormat="1" ht="15" customHeight="1">
      <c r="B164" s="186"/>
      <c r="C164" s="182" t="s">
        <v>160</v>
      </c>
      <c r="D164" s="183">
        <v>3795</v>
      </c>
      <c r="E164" s="183">
        <v>2519</v>
      </c>
      <c r="F164" s="183">
        <v>3876</v>
      </c>
      <c r="G164" s="183">
        <v>3302</v>
      </c>
      <c r="H164" s="183">
        <v>2484</v>
      </c>
      <c r="I164" s="183">
        <v>1713</v>
      </c>
      <c r="J164" s="183">
        <v>3001</v>
      </c>
      <c r="K164" s="183">
        <v>1994</v>
      </c>
      <c r="L164" s="183">
        <v>2320</v>
      </c>
      <c r="M164" s="183">
        <v>2913</v>
      </c>
      <c r="N164" s="183">
        <v>2398</v>
      </c>
      <c r="O164" s="183">
        <v>2667</v>
      </c>
      <c r="P164" s="184">
        <f t="shared" si="69"/>
        <v>32982</v>
      </c>
    </row>
    <row r="165" spans="2:16" s="14" customFormat="1" ht="15" customHeight="1">
      <c r="B165" s="297"/>
      <c r="C165" s="188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90">
        <f t="shared" si="69"/>
        <v>0</v>
      </c>
    </row>
    <row r="166" spans="2:16" s="14" customFormat="1" ht="15" customHeight="1">
      <c r="B166" s="178" t="s">
        <v>152</v>
      </c>
      <c r="C166" s="179"/>
      <c r="D166" s="180">
        <f t="shared" ref="D166:O166" si="71">D130</f>
        <v>4330</v>
      </c>
      <c r="E166" s="180">
        <f t="shared" si="71"/>
        <v>4918</v>
      </c>
      <c r="F166" s="180">
        <f t="shared" si="71"/>
        <v>7491</v>
      </c>
      <c r="G166" s="180">
        <f t="shared" si="71"/>
        <v>6697</v>
      </c>
      <c r="H166" s="180">
        <f t="shared" si="71"/>
        <v>4586</v>
      </c>
      <c r="I166" s="180">
        <f t="shared" si="71"/>
        <v>5929</v>
      </c>
      <c r="J166" s="180">
        <f t="shared" si="71"/>
        <v>5163</v>
      </c>
      <c r="K166" s="180">
        <f t="shared" si="71"/>
        <v>3609</v>
      </c>
      <c r="L166" s="180">
        <f t="shared" si="71"/>
        <v>3467</v>
      </c>
      <c r="M166" s="180">
        <f t="shared" si="71"/>
        <v>3515</v>
      </c>
      <c r="N166" s="180">
        <f t="shared" si="71"/>
        <v>5916</v>
      </c>
      <c r="O166" s="180">
        <f t="shared" si="71"/>
        <v>4108</v>
      </c>
      <c r="P166" s="180">
        <f t="shared" si="69"/>
        <v>59729</v>
      </c>
    </row>
    <row r="167" spans="2:16" s="14" customFormat="1" ht="15" customHeight="1">
      <c r="B167" s="181"/>
      <c r="C167" s="182" t="s">
        <v>153</v>
      </c>
      <c r="D167" s="183">
        <f>D166-D168</f>
        <v>4308</v>
      </c>
      <c r="E167" s="183">
        <f t="shared" ref="E167:O167" si="72">E166-E168</f>
        <v>3472</v>
      </c>
      <c r="F167" s="183">
        <f t="shared" si="72"/>
        <v>6332</v>
      </c>
      <c r="G167" s="183">
        <f t="shared" si="72"/>
        <v>5742</v>
      </c>
      <c r="H167" s="183">
        <f t="shared" si="72"/>
        <v>3839</v>
      </c>
      <c r="I167" s="183">
        <f t="shared" si="72"/>
        <v>5008</v>
      </c>
      <c r="J167" s="183">
        <f t="shared" si="72"/>
        <v>4230</v>
      </c>
      <c r="K167" s="183">
        <f t="shared" si="72"/>
        <v>2967</v>
      </c>
      <c r="L167" s="183">
        <f t="shared" si="72"/>
        <v>2736</v>
      </c>
      <c r="M167" s="183">
        <f t="shared" si="72"/>
        <v>2273</v>
      </c>
      <c r="N167" s="183">
        <f t="shared" si="72"/>
        <v>4555</v>
      </c>
      <c r="O167" s="183">
        <f t="shared" si="72"/>
        <v>3539</v>
      </c>
      <c r="P167" s="184">
        <f t="shared" si="69"/>
        <v>49001</v>
      </c>
    </row>
    <row r="168" spans="2:16" s="14" customFormat="1" ht="15" customHeight="1">
      <c r="B168" s="186"/>
      <c r="C168" s="182" t="s">
        <v>154</v>
      </c>
      <c r="D168" s="183">
        <v>22</v>
      </c>
      <c r="E168" s="183">
        <v>1446</v>
      </c>
      <c r="F168" s="183">
        <v>1159</v>
      </c>
      <c r="G168" s="183">
        <v>955</v>
      </c>
      <c r="H168" s="183">
        <v>747</v>
      </c>
      <c r="I168" s="183">
        <v>921</v>
      </c>
      <c r="J168" s="183">
        <v>933</v>
      </c>
      <c r="K168" s="183">
        <v>642</v>
      </c>
      <c r="L168" s="183">
        <v>731</v>
      </c>
      <c r="M168" s="183">
        <v>1242</v>
      </c>
      <c r="N168" s="183">
        <v>1361</v>
      </c>
      <c r="O168" s="183">
        <v>569</v>
      </c>
      <c r="P168" s="184">
        <f t="shared" si="69"/>
        <v>10728</v>
      </c>
    </row>
    <row r="169" spans="2:16" s="14" customFormat="1" ht="15" customHeight="1">
      <c r="D169" s="503"/>
      <c r="E169" s="503"/>
      <c r="F169" s="503"/>
      <c r="G169" s="503"/>
      <c r="H169" s="503"/>
      <c r="I169" s="503"/>
      <c r="J169" s="503"/>
      <c r="K169" s="503"/>
      <c r="L169" s="15"/>
      <c r="M169" s="15"/>
      <c r="N169" s="15"/>
      <c r="O169" s="15"/>
    </row>
    <row r="170" spans="2:16" s="14" customFormat="1" ht="15" customHeight="1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6" s="14" customFormat="1" ht="15" customHeight="1" thickBot="1">
      <c r="B171" s="146" t="s">
        <v>138</v>
      </c>
      <c r="C171" s="146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8"/>
    </row>
    <row r="172" spans="2:16" s="14" customFormat="1" ht="15" customHeight="1" thickBot="1">
      <c r="B172" s="224"/>
      <c r="C172" s="225" t="s">
        <v>88</v>
      </c>
      <c r="D172" s="226">
        <v>1</v>
      </c>
      <c r="E172" s="227">
        <v>2</v>
      </c>
      <c r="F172" s="227">
        <v>3</v>
      </c>
      <c r="G172" s="227">
        <v>4</v>
      </c>
      <c r="H172" s="227">
        <v>5</v>
      </c>
      <c r="I172" s="227">
        <v>6</v>
      </c>
      <c r="J172" s="227">
        <v>7</v>
      </c>
      <c r="K172" s="227">
        <v>8</v>
      </c>
      <c r="L172" s="227">
        <v>9</v>
      </c>
      <c r="M172" s="227">
        <v>10</v>
      </c>
      <c r="N172" s="227">
        <v>11</v>
      </c>
      <c r="O172" s="227">
        <v>12</v>
      </c>
      <c r="P172" s="228" t="s">
        <v>6</v>
      </c>
    </row>
    <row r="173" spans="2:16" s="14" customFormat="1" ht="15" customHeight="1">
      <c r="B173" s="741" t="s">
        <v>132</v>
      </c>
      <c r="C173" s="229" t="s">
        <v>22</v>
      </c>
      <c r="D173" s="230">
        <v>3103</v>
      </c>
      <c r="E173" s="231">
        <v>3310</v>
      </c>
      <c r="F173" s="230">
        <v>4126</v>
      </c>
      <c r="G173" s="231">
        <v>2960</v>
      </c>
      <c r="H173" s="231">
        <v>3452</v>
      </c>
      <c r="I173" s="231">
        <v>3260</v>
      </c>
      <c r="J173" s="231">
        <v>3949</v>
      </c>
      <c r="K173" s="231">
        <v>3606</v>
      </c>
      <c r="L173" s="231">
        <v>2437</v>
      </c>
      <c r="M173" s="231">
        <v>2593</v>
      </c>
      <c r="N173" s="231">
        <v>3032</v>
      </c>
      <c r="O173" s="231">
        <v>2938</v>
      </c>
      <c r="P173" s="232">
        <f t="shared" ref="P173:P179" si="73">SUM(D173:O173)</f>
        <v>38766</v>
      </c>
    </row>
    <row r="174" spans="2:16" s="14" customFormat="1" ht="15" customHeight="1">
      <c r="B174" s="742"/>
      <c r="C174" s="229" t="s">
        <v>44</v>
      </c>
      <c r="D174" s="230">
        <v>2146</v>
      </c>
      <c r="E174" s="231">
        <v>1220</v>
      </c>
      <c r="F174" s="230">
        <v>2631</v>
      </c>
      <c r="G174" s="231">
        <v>2212</v>
      </c>
      <c r="H174" s="231">
        <v>2405</v>
      </c>
      <c r="I174" s="231">
        <v>2670</v>
      </c>
      <c r="J174" s="231">
        <v>2540</v>
      </c>
      <c r="K174" s="231">
        <v>2518</v>
      </c>
      <c r="L174" s="231">
        <v>2294</v>
      </c>
      <c r="M174" s="231">
        <v>2501</v>
      </c>
      <c r="N174" s="231">
        <v>2759</v>
      </c>
      <c r="O174" s="231">
        <v>2634</v>
      </c>
      <c r="P174" s="232">
        <f t="shared" si="73"/>
        <v>28530</v>
      </c>
    </row>
    <row r="175" spans="2:16" s="14" customFormat="1" ht="15" customHeight="1">
      <c r="B175" s="742"/>
      <c r="C175" s="229" t="s">
        <v>48</v>
      </c>
      <c r="D175" s="230">
        <v>1800</v>
      </c>
      <c r="E175" s="231">
        <v>957</v>
      </c>
      <c r="F175" s="230">
        <v>3509</v>
      </c>
      <c r="G175" s="231">
        <v>2609</v>
      </c>
      <c r="H175" s="231">
        <v>2029</v>
      </c>
      <c r="I175" s="231">
        <v>2879</v>
      </c>
      <c r="J175" s="231">
        <v>1487</v>
      </c>
      <c r="K175" s="231">
        <v>1631</v>
      </c>
      <c r="L175" s="231">
        <v>1693</v>
      </c>
      <c r="M175" s="231">
        <v>1504</v>
      </c>
      <c r="N175" s="231">
        <v>1947</v>
      </c>
      <c r="O175" s="231">
        <v>1392</v>
      </c>
      <c r="P175" s="232">
        <f t="shared" si="73"/>
        <v>23437</v>
      </c>
    </row>
    <row r="176" spans="2:16" s="14" customFormat="1" ht="15" customHeight="1">
      <c r="B176" s="742"/>
      <c r="C176" s="229" t="s">
        <v>69</v>
      </c>
      <c r="D176" s="230">
        <v>8048</v>
      </c>
      <c r="E176" s="231">
        <v>4349</v>
      </c>
      <c r="F176" s="230">
        <v>8193</v>
      </c>
      <c r="G176" s="231">
        <v>7953</v>
      </c>
      <c r="H176" s="231">
        <v>8136</v>
      </c>
      <c r="I176" s="231">
        <v>10145</v>
      </c>
      <c r="J176" s="231">
        <v>8463</v>
      </c>
      <c r="K176" s="231">
        <v>3944</v>
      </c>
      <c r="L176" s="231">
        <v>7485</v>
      </c>
      <c r="M176" s="231">
        <v>5459</v>
      </c>
      <c r="N176" s="231">
        <v>7343</v>
      </c>
      <c r="O176" s="231">
        <v>5032</v>
      </c>
      <c r="P176" s="232">
        <f t="shared" si="73"/>
        <v>84550</v>
      </c>
    </row>
    <row r="177" spans="2:18" s="14" customFormat="1" ht="15" customHeight="1">
      <c r="B177" s="742"/>
      <c r="C177" s="229" t="s">
        <v>333</v>
      </c>
      <c r="D177" s="230">
        <v>3939</v>
      </c>
      <c r="E177" s="231">
        <v>2851</v>
      </c>
      <c r="F177" s="230">
        <v>5045</v>
      </c>
      <c r="G177" s="231">
        <v>4772</v>
      </c>
      <c r="H177" s="231">
        <v>4464</v>
      </c>
      <c r="I177" s="231">
        <v>5652</v>
      </c>
      <c r="J177" s="231">
        <v>2715</v>
      </c>
      <c r="K177" s="231">
        <v>2172</v>
      </c>
      <c r="L177" s="231">
        <v>2344</v>
      </c>
      <c r="M177" s="231">
        <v>1844</v>
      </c>
      <c r="N177" s="231">
        <v>3253</v>
      </c>
      <c r="O177" s="231">
        <v>1997</v>
      </c>
      <c r="P177" s="232">
        <f t="shared" si="73"/>
        <v>41048</v>
      </c>
    </row>
    <row r="178" spans="2:18" s="14" customFormat="1" ht="15" customHeight="1">
      <c r="B178" s="742"/>
      <c r="C178" s="229" t="s">
        <v>101</v>
      </c>
      <c r="D178" s="230">
        <v>157</v>
      </c>
      <c r="E178" s="231">
        <v>194</v>
      </c>
      <c r="F178" s="230">
        <v>387</v>
      </c>
      <c r="G178" s="231">
        <v>189</v>
      </c>
      <c r="H178" s="231">
        <v>164</v>
      </c>
      <c r="I178" s="231">
        <v>305</v>
      </c>
      <c r="J178" s="231">
        <v>279</v>
      </c>
      <c r="K178" s="231">
        <v>195</v>
      </c>
      <c r="L178" s="231">
        <v>466</v>
      </c>
      <c r="M178" s="231">
        <v>480</v>
      </c>
      <c r="N178" s="231">
        <v>366</v>
      </c>
      <c r="O178" s="231">
        <v>343</v>
      </c>
      <c r="P178" s="232">
        <f t="shared" si="73"/>
        <v>3525</v>
      </c>
    </row>
    <row r="179" spans="2:18" s="14" customFormat="1" ht="15" customHeight="1">
      <c r="B179" s="742"/>
      <c r="C179" s="233" t="s">
        <v>46</v>
      </c>
      <c r="D179" s="234">
        <v>612</v>
      </c>
      <c r="E179" s="235">
        <v>671</v>
      </c>
      <c r="F179" s="230">
        <v>861</v>
      </c>
      <c r="G179" s="235">
        <v>545</v>
      </c>
      <c r="H179" s="235">
        <v>601</v>
      </c>
      <c r="I179" s="235">
        <v>855</v>
      </c>
      <c r="J179" s="235">
        <v>790</v>
      </c>
      <c r="K179" s="235">
        <v>579</v>
      </c>
      <c r="L179" s="235">
        <v>556</v>
      </c>
      <c r="M179" s="235">
        <v>567</v>
      </c>
      <c r="N179" s="235">
        <v>572</v>
      </c>
      <c r="O179" s="235">
        <v>622</v>
      </c>
      <c r="P179" s="232">
        <f t="shared" si="73"/>
        <v>7831</v>
      </c>
    </row>
    <row r="180" spans="2:18" s="14" customFormat="1" ht="15" customHeight="1">
      <c r="B180" s="744"/>
      <c r="C180" s="236" t="s">
        <v>6</v>
      </c>
      <c r="D180" s="237">
        <f t="shared" ref="D180:P180" si="74">SUM(D173:D179)</f>
        <v>19805</v>
      </c>
      <c r="E180" s="237">
        <f t="shared" si="74"/>
        <v>13552</v>
      </c>
      <c r="F180" s="237">
        <f t="shared" si="74"/>
        <v>24752</v>
      </c>
      <c r="G180" s="237">
        <f t="shared" si="74"/>
        <v>21240</v>
      </c>
      <c r="H180" s="237">
        <f t="shared" si="74"/>
        <v>21251</v>
      </c>
      <c r="I180" s="237">
        <f t="shared" si="74"/>
        <v>25766</v>
      </c>
      <c r="J180" s="237">
        <f t="shared" si="74"/>
        <v>20223</v>
      </c>
      <c r="K180" s="237">
        <f t="shared" si="74"/>
        <v>14645</v>
      </c>
      <c r="L180" s="237">
        <f t="shared" si="74"/>
        <v>17275</v>
      </c>
      <c r="M180" s="237">
        <f t="shared" si="74"/>
        <v>14948</v>
      </c>
      <c r="N180" s="237">
        <f t="shared" si="74"/>
        <v>19272</v>
      </c>
      <c r="O180" s="237">
        <f t="shared" si="74"/>
        <v>14958</v>
      </c>
      <c r="P180" s="238">
        <f t="shared" si="74"/>
        <v>227687</v>
      </c>
      <c r="Q180" s="303"/>
    </row>
    <row r="181" spans="2:18" s="14" customFormat="1" ht="15" customHeight="1">
      <c r="B181" s="751"/>
      <c r="C181" s="233" t="s">
        <v>144</v>
      </c>
      <c r="D181" s="234">
        <v>79</v>
      </c>
      <c r="E181" s="235">
        <v>51</v>
      </c>
      <c r="F181" s="230">
        <v>113</v>
      </c>
      <c r="G181" s="235">
        <v>120</v>
      </c>
      <c r="H181" s="235">
        <v>183</v>
      </c>
      <c r="I181" s="235">
        <v>166</v>
      </c>
      <c r="J181" s="235">
        <v>83</v>
      </c>
      <c r="K181" s="235">
        <v>69</v>
      </c>
      <c r="L181" s="235">
        <v>74</v>
      </c>
      <c r="M181" s="235">
        <v>75</v>
      </c>
      <c r="N181" s="235">
        <v>109</v>
      </c>
      <c r="O181" s="235">
        <v>142</v>
      </c>
      <c r="P181" s="239">
        <f t="shared" ref="P181:P189" si="75">SUM(D181:O181)</f>
        <v>1264</v>
      </c>
    </row>
    <row r="182" spans="2:18" s="14" customFormat="1" ht="15" customHeight="1">
      <c r="B182" s="751"/>
      <c r="C182" s="229" t="s">
        <v>86</v>
      </c>
      <c r="D182" s="230">
        <v>1141</v>
      </c>
      <c r="E182" s="231">
        <v>1935</v>
      </c>
      <c r="F182" s="230">
        <v>2279</v>
      </c>
      <c r="G182" s="231">
        <v>2300</v>
      </c>
      <c r="H182" s="231">
        <v>2227</v>
      </c>
      <c r="I182" s="231">
        <v>2272</v>
      </c>
      <c r="J182" s="231">
        <v>1418</v>
      </c>
      <c r="K182" s="231">
        <v>1498</v>
      </c>
      <c r="L182" s="231">
        <v>1661</v>
      </c>
      <c r="M182" s="231">
        <v>1334</v>
      </c>
      <c r="N182" s="231">
        <v>1888</v>
      </c>
      <c r="O182" s="231">
        <v>1286</v>
      </c>
      <c r="P182" s="239">
        <f t="shared" si="75"/>
        <v>21239</v>
      </c>
    </row>
    <row r="183" spans="2:18" s="14" customFormat="1" ht="15" customHeight="1">
      <c r="B183" s="751"/>
      <c r="C183" s="229" t="s">
        <v>145</v>
      </c>
      <c r="D183" s="230">
        <v>299</v>
      </c>
      <c r="E183" s="231">
        <v>289</v>
      </c>
      <c r="F183" s="230">
        <v>486</v>
      </c>
      <c r="G183" s="231">
        <v>357</v>
      </c>
      <c r="H183" s="231">
        <v>394</v>
      </c>
      <c r="I183" s="231">
        <v>502</v>
      </c>
      <c r="J183" s="231">
        <v>313</v>
      </c>
      <c r="K183" s="231">
        <v>355</v>
      </c>
      <c r="L183" s="231">
        <v>258</v>
      </c>
      <c r="M183" s="231">
        <v>217</v>
      </c>
      <c r="N183" s="231">
        <v>341</v>
      </c>
      <c r="O183" s="231">
        <v>360</v>
      </c>
      <c r="P183" s="239">
        <f t="shared" si="75"/>
        <v>4171</v>
      </c>
    </row>
    <row r="184" spans="2:18" s="14" customFormat="1" ht="15" customHeight="1">
      <c r="B184" s="751"/>
      <c r="C184" s="229" t="s">
        <v>348</v>
      </c>
      <c r="D184" s="230"/>
      <c r="E184" s="231"/>
      <c r="F184" s="230"/>
      <c r="G184" s="231"/>
      <c r="H184" s="231"/>
      <c r="I184" s="231"/>
      <c r="J184" s="231"/>
      <c r="K184" s="231"/>
      <c r="L184" s="231"/>
      <c r="M184" s="231"/>
      <c r="N184" s="231"/>
      <c r="O184" s="231"/>
      <c r="P184" s="239"/>
    </row>
    <row r="185" spans="2:18" s="14" customFormat="1" ht="15" customHeight="1">
      <c r="B185" s="751"/>
      <c r="C185" s="229" t="s">
        <v>146</v>
      </c>
      <c r="D185" s="230">
        <v>3508</v>
      </c>
      <c r="E185" s="231">
        <v>2869</v>
      </c>
      <c r="F185" s="230">
        <v>6035</v>
      </c>
      <c r="G185" s="231">
        <v>5597</v>
      </c>
      <c r="H185" s="231">
        <v>5604</v>
      </c>
      <c r="I185" s="231">
        <v>5536</v>
      </c>
      <c r="J185" s="231">
        <v>3966</v>
      </c>
      <c r="K185" s="231">
        <v>3277</v>
      </c>
      <c r="L185" s="231">
        <v>3882</v>
      </c>
      <c r="M185" s="231">
        <v>3344</v>
      </c>
      <c r="N185" s="231">
        <v>3547</v>
      </c>
      <c r="O185" s="231">
        <v>2316</v>
      </c>
      <c r="P185" s="239">
        <f t="shared" si="75"/>
        <v>49481</v>
      </c>
    </row>
    <row r="186" spans="2:18" s="14" customFormat="1" ht="15" customHeight="1">
      <c r="B186" s="751"/>
      <c r="C186" s="229" t="s">
        <v>147</v>
      </c>
      <c r="D186" s="230">
        <v>1175</v>
      </c>
      <c r="E186" s="231">
        <v>1165</v>
      </c>
      <c r="F186" s="230">
        <v>1615</v>
      </c>
      <c r="G186" s="231">
        <v>1749</v>
      </c>
      <c r="H186" s="231">
        <v>1509</v>
      </c>
      <c r="I186" s="231">
        <v>2455</v>
      </c>
      <c r="J186" s="231">
        <v>1272</v>
      </c>
      <c r="K186" s="231">
        <v>1472</v>
      </c>
      <c r="L186" s="231">
        <v>1263</v>
      </c>
      <c r="M186" s="231">
        <v>1425</v>
      </c>
      <c r="N186" s="231">
        <v>1658</v>
      </c>
      <c r="O186" s="231">
        <v>1667</v>
      </c>
      <c r="P186" s="239">
        <f t="shared" si="75"/>
        <v>18425</v>
      </c>
    </row>
    <row r="187" spans="2:18" s="14" customFormat="1" ht="15" customHeight="1">
      <c r="B187" s="751"/>
      <c r="C187" s="229" t="s">
        <v>148</v>
      </c>
      <c r="D187" s="230">
        <v>1830</v>
      </c>
      <c r="E187" s="231">
        <v>1998</v>
      </c>
      <c r="F187" s="230">
        <v>3875</v>
      </c>
      <c r="G187" s="231">
        <v>9270</v>
      </c>
      <c r="H187" s="231">
        <v>9298</v>
      </c>
      <c r="I187" s="231">
        <v>11596</v>
      </c>
      <c r="J187" s="231">
        <v>9488</v>
      </c>
      <c r="K187" s="231">
        <v>6116</v>
      </c>
      <c r="L187" s="231">
        <v>9151</v>
      </c>
      <c r="M187" s="231">
        <v>7261</v>
      </c>
      <c r="N187" s="231">
        <v>7009</v>
      </c>
      <c r="O187" s="231">
        <v>5383</v>
      </c>
      <c r="P187" s="239">
        <f t="shared" si="75"/>
        <v>82275</v>
      </c>
    </row>
    <row r="188" spans="2:18" s="14" customFormat="1" ht="15" customHeight="1">
      <c r="B188" s="751"/>
      <c r="C188" s="229" t="s">
        <v>149</v>
      </c>
      <c r="D188" s="230">
        <v>1428</v>
      </c>
      <c r="E188" s="231">
        <v>621</v>
      </c>
      <c r="F188" s="230">
        <v>2549</v>
      </c>
      <c r="G188" s="231">
        <v>2143</v>
      </c>
      <c r="H188" s="231">
        <v>1719</v>
      </c>
      <c r="I188" s="231">
        <v>2548</v>
      </c>
      <c r="J188" s="231">
        <v>1632</v>
      </c>
      <c r="K188" s="231">
        <v>1361</v>
      </c>
      <c r="L188" s="231">
        <v>1288</v>
      </c>
      <c r="M188" s="231">
        <v>1370</v>
      </c>
      <c r="N188" s="231">
        <v>1671</v>
      </c>
      <c r="O188" s="231">
        <v>1268</v>
      </c>
      <c r="P188" s="232">
        <f t="shared" si="75"/>
        <v>19598</v>
      </c>
    </row>
    <row r="189" spans="2:18" s="14" customFormat="1" ht="15" customHeight="1">
      <c r="B189" s="751"/>
      <c r="C189" s="233" t="s">
        <v>142</v>
      </c>
      <c r="D189" s="234">
        <v>3352</v>
      </c>
      <c r="E189" s="235">
        <v>2510</v>
      </c>
      <c r="F189" s="230">
        <v>3179</v>
      </c>
      <c r="G189" s="235">
        <v>2063</v>
      </c>
      <c r="H189" s="235">
        <v>2941</v>
      </c>
      <c r="I189" s="235">
        <v>3286</v>
      </c>
      <c r="J189" s="235">
        <v>2119</v>
      </c>
      <c r="K189" s="235">
        <v>5622</v>
      </c>
      <c r="L189" s="235">
        <v>10130</v>
      </c>
      <c r="M189" s="235">
        <v>12093</v>
      </c>
      <c r="N189" s="235">
        <v>9823</v>
      </c>
      <c r="O189" s="235">
        <v>7077</v>
      </c>
      <c r="P189" s="232">
        <f t="shared" si="75"/>
        <v>64195</v>
      </c>
    </row>
    <row r="190" spans="2:18" s="14" customFormat="1" ht="15" customHeight="1" thickBot="1">
      <c r="B190" s="752"/>
      <c r="C190" s="236" t="s">
        <v>6</v>
      </c>
      <c r="D190" s="237">
        <f t="shared" ref="D190:P190" si="76">SUM(D181:D189)</f>
        <v>12812</v>
      </c>
      <c r="E190" s="237">
        <f t="shared" si="76"/>
        <v>11438</v>
      </c>
      <c r="F190" s="240">
        <f t="shared" si="76"/>
        <v>20131</v>
      </c>
      <c r="G190" s="237">
        <f t="shared" si="76"/>
        <v>23599</v>
      </c>
      <c r="H190" s="237">
        <f t="shared" si="76"/>
        <v>23875</v>
      </c>
      <c r="I190" s="237">
        <f t="shared" si="76"/>
        <v>28361</v>
      </c>
      <c r="J190" s="237">
        <f t="shared" si="76"/>
        <v>20291</v>
      </c>
      <c r="K190" s="237">
        <f t="shared" si="76"/>
        <v>19770</v>
      </c>
      <c r="L190" s="237">
        <f t="shared" si="76"/>
        <v>27707</v>
      </c>
      <c r="M190" s="237">
        <f t="shared" si="76"/>
        <v>27119</v>
      </c>
      <c r="N190" s="237">
        <f t="shared" si="76"/>
        <v>26046</v>
      </c>
      <c r="O190" s="237">
        <f t="shared" si="76"/>
        <v>19499</v>
      </c>
      <c r="P190" s="238">
        <f t="shared" si="76"/>
        <v>260648</v>
      </c>
      <c r="Q190" s="303"/>
      <c r="R190" s="304"/>
    </row>
    <row r="191" spans="2:18" s="14" customFormat="1" ht="15" customHeight="1">
      <c r="B191" s="741" t="s">
        <v>36</v>
      </c>
      <c r="C191" s="241" t="s">
        <v>37</v>
      </c>
      <c r="D191" s="242">
        <v>4319</v>
      </c>
      <c r="E191" s="243">
        <v>3584</v>
      </c>
      <c r="F191" s="244">
        <v>6014</v>
      </c>
      <c r="G191" s="243">
        <v>5412</v>
      </c>
      <c r="H191" s="243">
        <v>5958</v>
      </c>
      <c r="I191" s="243">
        <v>5657</v>
      </c>
      <c r="J191" s="243">
        <v>6251</v>
      </c>
      <c r="K191" s="243">
        <v>3996</v>
      </c>
      <c r="L191" s="243">
        <v>6013</v>
      </c>
      <c r="M191" s="243">
        <v>5883</v>
      </c>
      <c r="N191" s="243">
        <v>5053</v>
      </c>
      <c r="O191" s="243">
        <v>3766</v>
      </c>
      <c r="P191" s="245">
        <f>SUM(D191:O191)</f>
        <v>61906</v>
      </c>
    </row>
    <row r="192" spans="2:18" s="14" customFormat="1" ht="15" customHeight="1">
      <c r="B192" s="742"/>
      <c r="C192" s="246" t="s">
        <v>38</v>
      </c>
      <c r="D192" s="247">
        <v>106</v>
      </c>
      <c r="E192" s="248">
        <v>61</v>
      </c>
      <c r="F192" s="230">
        <v>86</v>
      </c>
      <c r="G192" s="248">
        <v>63</v>
      </c>
      <c r="H192" s="248">
        <v>70</v>
      </c>
      <c r="I192" s="248">
        <v>85</v>
      </c>
      <c r="J192" s="248">
        <v>49</v>
      </c>
      <c r="K192" s="248">
        <v>30</v>
      </c>
      <c r="L192" s="248">
        <v>23</v>
      </c>
      <c r="M192" s="248">
        <v>31</v>
      </c>
      <c r="N192" s="248">
        <v>25</v>
      </c>
      <c r="O192" s="248">
        <v>29</v>
      </c>
      <c r="P192" s="249">
        <f>SUM(D192:O192)</f>
        <v>658</v>
      </c>
    </row>
    <row r="193" spans="2:16" s="14" customFormat="1" ht="15" customHeight="1">
      <c r="B193" s="742"/>
      <c r="C193" s="246" t="s">
        <v>39</v>
      </c>
      <c r="D193" s="247">
        <v>8</v>
      </c>
      <c r="E193" s="248">
        <v>46</v>
      </c>
      <c r="F193" s="230">
        <v>25</v>
      </c>
      <c r="G193" s="248">
        <v>47</v>
      </c>
      <c r="H193" s="248">
        <v>28</v>
      </c>
      <c r="I193" s="248">
        <v>136</v>
      </c>
      <c r="J193" s="248">
        <v>236</v>
      </c>
      <c r="K193" s="248">
        <v>22</v>
      </c>
      <c r="L193" s="248">
        <v>193</v>
      </c>
      <c r="M193" s="248">
        <v>28</v>
      </c>
      <c r="N193" s="248">
        <v>127</v>
      </c>
      <c r="O193" s="248">
        <v>605</v>
      </c>
      <c r="P193" s="249">
        <f>SUM(D193:O193)</f>
        <v>1501</v>
      </c>
    </row>
    <row r="194" spans="2:16" s="14" customFormat="1" ht="15" customHeight="1" thickBot="1">
      <c r="B194" s="743"/>
      <c r="C194" s="250" t="s">
        <v>6</v>
      </c>
      <c r="D194" s="251">
        <f t="shared" ref="D194:P194" si="77">SUM(D191:D193)</f>
        <v>4433</v>
      </c>
      <c r="E194" s="251">
        <f t="shared" si="77"/>
        <v>3691</v>
      </c>
      <c r="F194" s="251">
        <f t="shared" si="77"/>
        <v>6125</v>
      </c>
      <c r="G194" s="251">
        <f t="shared" si="77"/>
        <v>5522</v>
      </c>
      <c r="H194" s="251">
        <f t="shared" si="77"/>
        <v>6056</v>
      </c>
      <c r="I194" s="251">
        <f t="shared" si="77"/>
        <v>5878</v>
      </c>
      <c r="J194" s="251">
        <f t="shared" si="77"/>
        <v>6536</v>
      </c>
      <c r="K194" s="251">
        <f t="shared" si="77"/>
        <v>4048</v>
      </c>
      <c r="L194" s="251">
        <f t="shared" si="77"/>
        <v>6229</v>
      </c>
      <c r="M194" s="251">
        <f t="shared" si="77"/>
        <v>5942</v>
      </c>
      <c r="N194" s="251">
        <f t="shared" si="77"/>
        <v>5205</v>
      </c>
      <c r="O194" s="251">
        <f t="shared" si="77"/>
        <v>4400</v>
      </c>
      <c r="P194" s="252">
        <f t="shared" si="77"/>
        <v>64065</v>
      </c>
    </row>
    <row r="195" spans="2:16" s="14" customFormat="1" ht="15" customHeight="1" thickBot="1">
      <c r="B195" s="733" t="s">
        <v>40</v>
      </c>
      <c r="C195" s="734"/>
      <c r="D195" s="253">
        <f t="shared" ref="D195:P195" si="78">D180+D190+D194</f>
        <v>37050</v>
      </c>
      <c r="E195" s="253">
        <f t="shared" si="78"/>
        <v>28681</v>
      </c>
      <c r="F195" s="253">
        <f t="shared" si="78"/>
        <v>51008</v>
      </c>
      <c r="G195" s="253">
        <f t="shared" si="78"/>
        <v>50361</v>
      </c>
      <c r="H195" s="253">
        <f t="shared" si="78"/>
        <v>51182</v>
      </c>
      <c r="I195" s="253">
        <f t="shared" si="78"/>
        <v>60005</v>
      </c>
      <c r="J195" s="253">
        <f t="shared" si="78"/>
        <v>47050</v>
      </c>
      <c r="K195" s="253">
        <f t="shared" si="78"/>
        <v>38463</v>
      </c>
      <c r="L195" s="253">
        <f t="shared" si="78"/>
        <v>51211</v>
      </c>
      <c r="M195" s="253">
        <f t="shared" si="78"/>
        <v>48009</v>
      </c>
      <c r="N195" s="253">
        <f t="shared" si="78"/>
        <v>50523</v>
      </c>
      <c r="O195" s="253">
        <f t="shared" si="78"/>
        <v>38857</v>
      </c>
      <c r="P195" s="254">
        <f t="shared" si="78"/>
        <v>552400</v>
      </c>
    </row>
    <row r="196" spans="2:16" s="14" customFormat="1" ht="15" customHeight="1">
      <c r="B196" s="176"/>
      <c r="C196" s="176"/>
      <c r="D196" s="75"/>
      <c r="E196" s="75"/>
      <c r="F196" s="75"/>
      <c r="G196" s="75"/>
      <c r="H196" s="75"/>
      <c r="I196" s="75"/>
      <c r="J196" s="75"/>
      <c r="K196" s="75"/>
      <c r="L196" s="75"/>
      <c r="M196" s="177"/>
      <c r="N196" s="177"/>
      <c r="O196" s="177"/>
      <c r="P196" s="75"/>
    </row>
    <row r="197" spans="2:16" s="14" customFormat="1" ht="15" customHeight="1">
      <c r="B197" s="178" t="s">
        <v>26</v>
      </c>
      <c r="C197" s="179"/>
      <c r="D197" s="180">
        <f t="shared" ref="D197:P197" si="79">D176</f>
        <v>8048</v>
      </c>
      <c r="E197" s="180">
        <f t="shared" si="79"/>
        <v>4349</v>
      </c>
      <c r="F197" s="180">
        <f t="shared" si="79"/>
        <v>8193</v>
      </c>
      <c r="G197" s="180">
        <f t="shared" si="79"/>
        <v>7953</v>
      </c>
      <c r="H197" s="180">
        <f t="shared" si="79"/>
        <v>8136</v>
      </c>
      <c r="I197" s="180">
        <f t="shared" si="79"/>
        <v>10145</v>
      </c>
      <c r="J197" s="180">
        <f t="shared" si="79"/>
        <v>8463</v>
      </c>
      <c r="K197" s="180">
        <f t="shared" si="79"/>
        <v>3944</v>
      </c>
      <c r="L197" s="180">
        <f t="shared" si="79"/>
        <v>7485</v>
      </c>
      <c r="M197" s="180">
        <f t="shared" si="79"/>
        <v>5459</v>
      </c>
      <c r="N197" s="180">
        <f t="shared" si="79"/>
        <v>7343</v>
      </c>
      <c r="O197" s="180">
        <f t="shared" si="79"/>
        <v>5032</v>
      </c>
      <c r="P197" s="180">
        <f t="shared" si="79"/>
        <v>84550</v>
      </c>
    </row>
    <row r="198" spans="2:16" s="14" customFormat="1" ht="15" customHeight="1">
      <c r="B198" s="185"/>
      <c r="C198" s="182" t="s">
        <v>71</v>
      </c>
      <c r="D198" s="183">
        <v>433</v>
      </c>
      <c r="E198" s="183">
        <v>453</v>
      </c>
      <c r="F198" s="183">
        <v>438</v>
      </c>
      <c r="G198" s="183">
        <v>431</v>
      </c>
      <c r="H198" s="183">
        <v>427</v>
      </c>
      <c r="I198" s="183">
        <v>510</v>
      </c>
      <c r="J198" s="183">
        <v>530</v>
      </c>
      <c r="K198" s="183">
        <v>430</v>
      </c>
      <c r="L198" s="183">
        <v>429</v>
      </c>
      <c r="M198" s="183">
        <v>446</v>
      </c>
      <c r="N198" s="183">
        <v>473</v>
      </c>
      <c r="O198" s="183">
        <v>457</v>
      </c>
      <c r="P198" s="184">
        <f>SUM(D198:O198)</f>
        <v>5457</v>
      </c>
    </row>
    <row r="199" spans="2:16" s="14" customFormat="1" ht="15" customHeight="1">
      <c r="B199" s="185"/>
      <c r="C199" s="182" t="s">
        <v>90</v>
      </c>
      <c r="D199" s="183">
        <v>12</v>
      </c>
      <c r="E199" s="183">
        <v>9</v>
      </c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4">
        <f>SUM(D199:O199)</f>
        <v>21</v>
      </c>
    </row>
    <row r="200" spans="2:16" s="14" customFormat="1" ht="15" customHeight="1">
      <c r="B200" s="296"/>
      <c r="C200" s="182" t="s">
        <v>136</v>
      </c>
      <c r="D200" s="183">
        <v>7197</v>
      </c>
      <c r="E200" s="183">
        <v>3801</v>
      </c>
      <c r="F200" s="183">
        <v>6996</v>
      </c>
      <c r="G200" s="183">
        <v>7070</v>
      </c>
      <c r="H200" s="183">
        <v>7024</v>
      </c>
      <c r="I200" s="183">
        <v>8247</v>
      </c>
      <c r="J200" s="183">
        <v>6015</v>
      </c>
      <c r="K200" s="183">
        <v>2844</v>
      </c>
      <c r="L200" s="183">
        <v>5313</v>
      </c>
      <c r="M200" s="183">
        <v>4190</v>
      </c>
      <c r="N200" s="183">
        <v>5670</v>
      </c>
      <c r="O200" s="183">
        <v>3824</v>
      </c>
      <c r="P200" s="294">
        <f>SUM(D200:O200)</f>
        <v>68191</v>
      </c>
    </row>
    <row r="201" spans="2:16" s="14" customFormat="1" ht="15" customHeight="1">
      <c r="B201" s="295"/>
      <c r="C201" s="182" t="s">
        <v>137</v>
      </c>
      <c r="D201" s="183">
        <v>406</v>
      </c>
      <c r="E201" s="183">
        <v>86</v>
      </c>
      <c r="F201" s="183">
        <v>759</v>
      </c>
      <c r="G201" s="183">
        <v>452</v>
      </c>
      <c r="H201" s="183">
        <v>685</v>
      </c>
      <c r="I201" s="183">
        <v>1388</v>
      </c>
      <c r="J201" s="183">
        <v>1918</v>
      </c>
      <c r="K201" s="183">
        <v>670</v>
      </c>
      <c r="L201" s="183">
        <v>1743</v>
      </c>
      <c r="M201" s="183">
        <v>823</v>
      </c>
      <c r="N201" s="183">
        <v>1200</v>
      </c>
      <c r="O201" s="183">
        <v>751</v>
      </c>
      <c r="P201" s="294">
        <f>SUM(D201:O201)</f>
        <v>10881</v>
      </c>
    </row>
    <row r="202" spans="2:16" s="14" customFormat="1" ht="15" customHeight="1">
      <c r="B202" s="187"/>
      <c r="C202" s="188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90"/>
    </row>
    <row r="203" spans="2:16" s="14" customFormat="1" ht="15" customHeight="1">
      <c r="B203" s="178" t="s">
        <v>333</v>
      </c>
      <c r="C203" s="179"/>
      <c r="D203" s="180">
        <f t="shared" ref="D203:P203" si="80">D177</f>
        <v>3939</v>
      </c>
      <c r="E203" s="180">
        <f t="shared" si="80"/>
        <v>2851</v>
      </c>
      <c r="F203" s="180">
        <f t="shared" si="80"/>
        <v>5045</v>
      </c>
      <c r="G203" s="180">
        <f t="shared" si="80"/>
        <v>4772</v>
      </c>
      <c r="H203" s="180">
        <f t="shared" si="80"/>
        <v>4464</v>
      </c>
      <c r="I203" s="180">
        <f t="shared" si="80"/>
        <v>5652</v>
      </c>
      <c r="J203" s="180">
        <f t="shared" si="80"/>
        <v>2715</v>
      </c>
      <c r="K203" s="180">
        <f t="shared" si="80"/>
        <v>2172</v>
      </c>
      <c r="L203" s="180">
        <f t="shared" si="80"/>
        <v>2344</v>
      </c>
      <c r="M203" s="180">
        <f t="shared" si="80"/>
        <v>1844</v>
      </c>
      <c r="N203" s="180">
        <f t="shared" si="80"/>
        <v>3253</v>
      </c>
      <c r="O203" s="180">
        <f t="shared" si="80"/>
        <v>1997</v>
      </c>
      <c r="P203" s="180">
        <f t="shared" si="80"/>
        <v>41048</v>
      </c>
    </row>
    <row r="204" spans="2:16" s="14" customFormat="1" ht="15" customHeight="1">
      <c r="B204" s="181"/>
      <c r="C204" s="182" t="s">
        <v>85</v>
      </c>
      <c r="D204" s="191">
        <f t="shared" ref="D204:O204" si="81">D203-D205</f>
        <v>3509</v>
      </c>
      <c r="E204" s="191">
        <f t="shared" si="81"/>
        <v>2527</v>
      </c>
      <c r="F204" s="191">
        <f t="shared" si="81"/>
        <v>3864</v>
      </c>
      <c r="G204" s="191">
        <f t="shared" si="81"/>
        <v>3379</v>
      </c>
      <c r="H204" s="191">
        <f t="shared" si="81"/>
        <v>3267</v>
      </c>
      <c r="I204" s="191">
        <f t="shared" si="81"/>
        <v>4630</v>
      </c>
      <c r="J204" s="191">
        <f t="shared" si="81"/>
        <v>2085</v>
      </c>
      <c r="K204" s="191">
        <f t="shared" si="81"/>
        <v>1612</v>
      </c>
      <c r="L204" s="191">
        <f t="shared" si="81"/>
        <v>1747</v>
      </c>
      <c r="M204" s="191">
        <f t="shared" si="81"/>
        <v>1420</v>
      </c>
      <c r="N204" s="191">
        <f t="shared" si="81"/>
        <v>2648</v>
      </c>
      <c r="O204" s="191">
        <f t="shared" si="81"/>
        <v>1532</v>
      </c>
      <c r="P204" s="184">
        <f>SUM(D204:O204)</f>
        <v>32220</v>
      </c>
    </row>
    <row r="205" spans="2:16" s="14" customFormat="1" ht="15" customHeight="1">
      <c r="B205" s="186"/>
      <c r="C205" s="182" t="s">
        <v>96</v>
      </c>
      <c r="D205" s="183">
        <v>430</v>
      </c>
      <c r="E205" s="183">
        <v>324</v>
      </c>
      <c r="F205" s="183">
        <v>1181</v>
      </c>
      <c r="G205" s="183">
        <v>1393</v>
      </c>
      <c r="H205" s="183">
        <v>1197</v>
      </c>
      <c r="I205" s="183">
        <v>1022</v>
      </c>
      <c r="J205" s="183">
        <v>630</v>
      </c>
      <c r="K205" s="183">
        <v>560</v>
      </c>
      <c r="L205" s="183">
        <v>597</v>
      </c>
      <c r="M205" s="183">
        <v>424</v>
      </c>
      <c r="N205" s="183">
        <v>605</v>
      </c>
      <c r="O205" s="183">
        <v>465</v>
      </c>
      <c r="P205" s="184">
        <f>SUM(D205:O205)</f>
        <v>8828</v>
      </c>
    </row>
    <row r="206" spans="2:16" s="14" customFormat="1" ht="15" customHeight="1">
      <c r="B206" s="187"/>
      <c r="C206" s="188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90"/>
    </row>
    <row r="207" spans="2:16" s="14" customFormat="1" ht="15" customHeight="1">
      <c r="B207" s="178" t="s">
        <v>86</v>
      </c>
      <c r="C207" s="179"/>
      <c r="D207" s="180">
        <f>D182</f>
        <v>1141</v>
      </c>
      <c r="E207" s="180">
        <f t="shared" ref="E207:O207" si="82">E182</f>
        <v>1935</v>
      </c>
      <c r="F207" s="180">
        <f t="shared" si="82"/>
        <v>2279</v>
      </c>
      <c r="G207" s="180">
        <f t="shared" si="82"/>
        <v>2300</v>
      </c>
      <c r="H207" s="180">
        <f t="shared" si="82"/>
        <v>2227</v>
      </c>
      <c r="I207" s="180">
        <f t="shared" si="82"/>
        <v>2272</v>
      </c>
      <c r="J207" s="180">
        <f t="shared" si="82"/>
        <v>1418</v>
      </c>
      <c r="K207" s="180">
        <f t="shared" si="82"/>
        <v>1498</v>
      </c>
      <c r="L207" s="180">
        <f t="shared" si="82"/>
        <v>1661</v>
      </c>
      <c r="M207" s="180">
        <f t="shared" si="82"/>
        <v>1334</v>
      </c>
      <c r="N207" s="180">
        <f t="shared" si="82"/>
        <v>1888</v>
      </c>
      <c r="O207" s="180">
        <f t="shared" si="82"/>
        <v>1286</v>
      </c>
      <c r="P207" s="180">
        <f>SUM(D207:O207)</f>
        <v>21239</v>
      </c>
    </row>
    <row r="208" spans="2:16" s="14" customFormat="1" ht="15" customHeight="1">
      <c r="B208" s="181"/>
      <c r="C208" s="182" t="s">
        <v>117</v>
      </c>
      <c r="D208" s="183">
        <f t="shared" ref="D208:N208" si="83">D207-D209</f>
        <v>1033</v>
      </c>
      <c r="E208" s="183">
        <f t="shared" si="83"/>
        <v>1754</v>
      </c>
      <c r="F208" s="183">
        <f t="shared" si="83"/>
        <v>1759</v>
      </c>
      <c r="G208" s="183">
        <f t="shared" si="83"/>
        <v>1898</v>
      </c>
      <c r="H208" s="183">
        <f t="shared" si="83"/>
        <v>1769</v>
      </c>
      <c r="I208" s="183">
        <f t="shared" si="83"/>
        <v>1869</v>
      </c>
      <c r="J208" s="183">
        <f t="shared" si="83"/>
        <v>1246</v>
      </c>
      <c r="K208" s="183">
        <f t="shared" si="83"/>
        <v>1366</v>
      </c>
      <c r="L208" s="183">
        <f t="shared" si="83"/>
        <v>1416</v>
      </c>
      <c r="M208" s="183">
        <f t="shared" si="83"/>
        <v>1082</v>
      </c>
      <c r="N208" s="183">
        <f t="shared" si="83"/>
        <v>1755</v>
      </c>
      <c r="O208" s="183">
        <f>O207-O209</f>
        <v>1093</v>
      </c>
      <c r="P208" s="184">
        <f>SUM(D208:O208)</f>
        <v>18040</v>
      </c>
    </row>
    <row r="209" spans="2:16" s="14" customFormat="1" ht="15" customHeight="1">
      <c r="B209" s="186"/>
      <c r="C209" s="182" t="s">
        <v>118</v>
      </c>
      <c r="D209" s="183">
        <v>108</v>
      </c>
      <c r="E209" s="183">
        <v>181</v>
      </c>
      <c r="F209" s="183">
        <v>520</v>
      </c>
      <c r="G209" s="183">
        <v>402</v>
      </c>
      <c r="H209" s="183">
        <v>458</v>
      </c>
      <c r="I209" s="183">
        <v>403</v>
      </c>
      <c r="J209" s="183">
        <v>172</v>
      </c>
      <c r="K209" s="183">
        <v>132</v>
      </c>
      <c r="L209" s="183">
        <v>245</v>
      </c>
      <c r="M209" s="183">
        <v>252</v>
      </c>
      <c r="N209" s="183">
        <v>133</v>
      </c>
      <c r="O209" s="183">
        <v>193</v>
      </c>
      <c r="P209" s="184">
        <f>SUM(D209:O209)</f>
        <v>3199</v>
      </c>
    </row>
    <row r="210" spans="2:16" s="14" customFormat="1" ht="15" customHeight="1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2:16" s="14" customFormat="1" ht="15" customHeight="1">
      <c r="B211" s="178" t="s">
        <v>31</v>
      </c>
      <c r="C211" s="179"/>
      <c r="D211" s="180">
        <f>D181</f>
        <v>79</v>
      </c>
      <c r="E211" s="180">
        <f t="shared" ref="E211:O211" si="84">E181</f>
        <v>51</v>
      </c>
      <c r="F211" s="180">
        <f t="shared" si="84"/>
        <v>113</v>
      </c>
      <c r="G211" s="180">
        <f t="shared" si="84"/>
        <v>120</v>
      </c>
      <c r="H211" s="180">
        <f t="shared" si="84"/>
        <v>183</v>
      </c>
      <c r="I211" s="180">
        <f t="shared" si="84"/>
        <v>166</v>
      </c>
      <c r="J211" s="180">
        <f t="shared" si="84"/>
        <v>83</v>
      </c>
      <c r="K211" s="180">
        <f t="shared" si="84"/>
        <v>69</v>
      </c>
      <c r="L211" s="180">
        <f t="shared" si="84"/>
        <v>74</v>
      </c>
      <c r="M211" s="180">
        <f t="shared" si="84"/>
        <v>75</v>
      </c>
      <c r="N211" s="180">
        <f t="shared" si="84"/>
        <v>109</v>
      </c>
      <c r="O211" s="180">
        <f t="shared" si="84"/>
        <v>142</v>
      </c>
      <c r="P211" s="180">
        <f>SUM(D211:O211)</f>
        <v>1264</v>
      </c>
    </row>
    <row r="212" spans="2:16" s="14" customFormat="1" ht="15" customHeight="1">
      <c r="B212" s="181"/>
      <c r="C212" s="182" t="s">
        <v>140</v>
      </c>
      <c r="D212" s="183">
        <f>D211-D213</f>
        <v>78</v>
      </c>
      <c r="E212" s="183">
        <f t="shared" ref="E212:O212" si="85">E211-E213</f>
        <v>44</v>
      </c>
      <c r="F212" s="183">
        <f t="shared" si="85"/>
        <v>70</v>
      </c>
      <c r="G212" s="183">
        <f t="shared" si="85"/>
        <v>73</v>
      </c>
      <c r="H212" s="183">
        <f t="shared" si="85"/>
        <v>81</v>
      </c>
      <c r="I212" s="183">
        <f t="shared" si="85"/>
        <v>129</v>
      </c>
      <c r="J212" s="183">
        <f t="shared" si="85"/>
        <v>60</v>
      </c>
      <c r="K212" s="183">
        <f t="shared" si="85"/>
        <v>51</v>
      </c>
      <c r="L212" s="183">
        <f t="shared" si="85"/>
        <v>54</v>
      </c>
      <c r="M212" s="183">
        <f t="shared" si="85"/>
        <v>61</v>
      </c>
      <c r="N212" s="183">
        <f t="shared" si="85"/>
        <v>93</v>
      </c>
      <c r="O212" s="183">
        <f t="shared" si="85"/>
        <v>90</v>
      </c>
      <c r="P212" s="184">
        <f>SUM(D212:O212)</f>
        <v>884</v>
      </c>
    </row>
    <row r="213" spans="2:16" s="14" customFormat="1" ht="15" customHeight="1">
      <c r="B213" s="186"/>
      <c r="C213" s="182" t="s">
        <v>141</v>
      </c>
      <c r="D213" s="183">
        <v>1</v>
      </c>
      <c r="E213" s="183">
        <v>7</v>
      </c>
      <c r="F213" s="183">
        <v>43</v>
      </c>
      <c r="G213" s="183">
        <v>47</v>
      </c>
      <c r="H213" s="183">
        <v>102</v>
      </c>
      <c r="I213" s="183">
        <v>37</v>
      </c>
      <c r="J213" s="183">
        <v>23</v>
      </c>
      <c r="K213" s="183">
        <v>18</v>
      </c>
      <c r="L213" s="183">
        <v>20</v>
      </c>
      <c r="M213" s="183">
        <v>14</v>
      </c>
      <c r="N213" s="183">
        <v>16</v>
      </c>
      <c r="O213" s="183">
        <v>52</v>
      </c>
      <c r="P213" s="184">
        <f>SUM(D213:O213)</f>
        <v>380</v>
      </c>
    </row>
    <row r="214" spans="2:16" s="14" customFormat="1" ht="15" customHeight="1">
      <c r="B214" s="297"/>
      <c r="C214" s="188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90"/>
    </row>
    <row r="215" spans="2:16" s="14" customFormat="1" ht="15" customHeight="1">
      <c r="B215" s="178" t="s">
        <v>157</v>
      </c>
      <c r="C215" s="179"/>
      <c r="D215" s="180">
        <f>D187</f>
        <v>1830</v>
      </c>
      <c r="E215" s="180">
        <f t="shared" ref="E215:O215" si="86">E187</f>
        <v>1998</v>
      </c>
      <c r="F215" s="180">
        <f t="shared" si="86"/>
        <v>3875</v>
      </c>
      <c r="G215" s="180">
        <f t="shared" si="86"/>
        <v>9270</v>
      </c>
      <c r="H215" s="180">
        <f t="shared" si="86"/>
        <v>9298</v>
      </c>
      <c r="I215" s="180">
        <f t="shared" si="86"/>
        <v>11596</v>
      </c>
      <c r="J215" s="180">
        <f t="shared" si="86"/>
        <v>9488</v>
      </c>
      <c r="K215" s="180">
        <f t="shared" si="86"/>
        <v>6116</v>
      </c>
      <c r="L215" s="180">
        <f t="shared" si="86"/>
        <v>9151</v>
      </c>
      <c r="M215" s="180">
        <v>7261</v>
      </c>
      <c r="N215" s="180">
        <f t="shared" si="86"/>
        <v>7009</v>
      </c>
      <c r="O215" s="180">
        <f t="shared" si="86"/>
        <v>5383</v>
      </c>
      <c r="P215" s="180">
        <f>SUM(D215:O215)</f>
        <v>82275</v>
      </c>
    </row>
    <row r="216" spans="2:16" s="14" customFormat="1" ht="15" customHeight="1">
      <c r="B216" s="181"/>
      <c r="C216" s="298" t="s">
        <v>158</v>
      </c>
      <c r="D216" s="299">
        <v>1830</v>
      </c>
      <c r="E216" s="299">
        <v>1998</v>
      </c>
      <c r="F216" s="299">
        <v>1557</v>
      </c>
      <c r="G216" s="299">
        <v>7</v>
      </c>
      <c r="H216" s="299"/>
      <c r="I216" s="299">
        <v>-1</v>
      </c>
      <c r="J216" s="299">
        <v>1</v>
      </c>
      <c r="K216" s="299"/>
      <c r="L216" s="299"/>
      <c r="M216" s="299"/>
      <c r="N216" s="299"/>
      <c r="O216" s="299"/>
      <c r="P216" s="184">
        <f>SUM(D216:O216)</f>
        <v>5392</v>
      </c>
    </row>
    <row r="217" spans="2:16" s="14" customFormat="1" ht="15" customHeight="1">
      <c r="B217" s="181"/>
      <c r="C217" s="182" t="s">
        <v>159</v>
      </c>
      <c r="D217" s="183"/>
      <c r="E217" s="183"/>
      <c r="F217" s="183">
        <v>1821</v>
      </c>
      <c r="G217" s="183">
        <v>7594</v>
      </c>
      <c r="H217" s="183">
        <v>7352</v>
      </c>
      <c r="I217" s="183">
        <v>8913</v>
      </c>
      <c r="J217" s="183">
        <v>7149</v>
      </c>
      <c r="K217" s="183">
        <v>3990</v>
      </c>
      <c r="L217" s="183">
        <v>5810</v>
      </c>
      <c r="M217" s="183">
        <v>4134</v>
      </c>
      <c r="N217" s="183">
        <v>3491</v>
      </c>
      <c r="O217" s="183">
        <v>2351</v>
      </c>
      <c r="P217" s="184">
        <f>SUM(D217:O217)</f>
        <v>52605</v>
      </c>
    </row>
    <row r="218" spans="2:16" s="14" customFormat="1" ht="15" customHeight="1">
      <c r="B218" s="186"/>
      <c r="C218" s="182" t="s">
        <v>160</v>
      </c>
      <c r="D218" s="183"/>
      <c r="E218" s="183"/>
      <c r="F218" s="183">
        <v>497</v>
      </c>
      <c r="G218" s="183">
        <v>1669</v>
      </c>
      <c r="H218" s="183">
        <v>1946</v>
      </c>
      <c r="I218" s="183">
        <v>2684</v>
      </c>
      <c r="J218" s="183">
        <v>2338</v>
      </c>
      <c r="K218" s="183">
        <v>2126</v>
      </c>
      <c r="L218" s="183">
        <v>3341</v>
      </c>
      <c r="M218" s="183">
        <v>3127</v>
      </c>
      <c r="N218" s="183">
        <v>3518</v>
      </c>
      <c r="O218" s="183">
        <v>3032</v>
      </c>
      <c r="P218" s="184">
        <f>SUM(D218:O218)</f>
        <v>24278</v>
      </c>
    </row>
    <row r="219" spans="2:16" s="14" customFormat="1" ht="15" customHeight="1">
      <c r="B219" s="297"/>
      <c r="C219" s="188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90"/>
    </row>
    <row r="220" spans="2:16" s="14" customFormat="1" ht="15" customHeight="1">
      <c r="B220" s="178" t="s">
        <v>152</v>
      </c>
      <c r="C220" s="179"/>
      <c r="D220" s="180">
        <f t="shared" ref="D220:O220" si="87">D191</f>
        <v>4319</v>
      </c>
      <c r="E220" s="180">
        <f t="shared" si="87"/>
        <v>3584</v>
      </c>
      <c r="F220" s="180">
        <f t="shared" si="87"/>
        <v>6014</v>
      </c>
      <c r="G220" s="180">
        <f t="shared" si="87"/>
        <v>5412</v>
      </c>
      <c r="H220" s="180">
        <f t="shared" si="87"/>
        <v>5958</v>
      </c>
      <c r="I220" s="180">
        <f t="shared" si="87"/>
        <v>5657</v>
      </c>
      <c r="J220" s="180">
        <f t="shared" si="87"/>
        <v>6251</v>
      </c>
      <c r="K220" s="180">
        <f t="shared" si="87"/>
        <v>3996</v>
      </c>
      <c r="L220" s="180">
        <f t="shared" si="87"/>
        <v>6013</v>
      </c>
      <c r="M220" s="180">
        <f t="shared" si="87"/>
        <v>5883</v>
      </c>
      <c r="N220" s="180">
        <f t="shared" si="87"/>
        <v>5053</v>
      </c>
      <c r="O220" s="180">
        <f t="shared" si="87"/>
        <v>3766</v>
      </c>
      <c r="P220" s="180">
        <f>SUM(D220:O220)</f>
        <v>61906</v>
      </c>
    </row>
    <row r="221" spans="2:16" s="14" customFormat="1" ht="15" customHeight="1">
      <c r="B221" s="181"/>
      <c r="C221" s="182" t="s">
        <v>153</v>
      </c>
      <c r="D221" s="183">
        <f>D220-D222</f>
        <v>4319</v>
      </c>
      <c r="E221" s="183">
        <f t="shared" ref="E221:O221" si="88">E220-E222</f>
        <v>3349</v>
      </c>
      <c r="F221" s="183">
        <f t="shared" si="88"/>
        <v>5362</v>
      </c>
      <c r="G221" s="183">
        <f t="shared" si="88"/>
        <v>5043</v>
      </c>
      <c r="H221" s="183">
        <f t="shared" si="88"/>
        <v>5726</v>
      </c>
      <c r="I221" s="183">
        <f t="shared" si="88"/>
        <v>5575</v>
      </c>
      <c r="J221" s="183">
        <f t="shared" si="88"/>
        <v>6022</v>
      </c>
      <c r="K221" s="183">
        <f t="shared" si="88"/>
        <v>3736</v>
      </c>
      <c r="L221" s="183">
        <f t="shared" si="88"/>
        <v>5032</v>
      </c>
      <c r="M221" s="183">
        <f t="shared" si="88"/>
        <v>4830</v>
      </c>
      <c r="N221" s="183">
        <f t="shared" si="88"/>
        <v>4623</v>
      </c>
      <c r="O221" s="183">
        <f t="shared" si="88"/>
        <v>2932</v>
      </c>
      <c r="P221" s="184">
        <f>SUM(D221:O221)</f>
        <v>56549</v>
      </c>
    </row>
    <row r="222" spans="2:16" s="14" customFormat="1" ht="15" customHeight="1">
      <c r="B222" s="186"/>
      <c r="C222" s="182" t="s">
        <v>154</v>
      </c>
      <c r="D222" s="183"/>
      <c r="E222" s="183">
        <v>235</v>
      </c>
      <c r="F222" s="183">
        <v>652</v>
      </c>
      <c r="G222" s="183">
        <v>369</v>
      </c>
      <c r="H222" s="183">
        <v>232</v>
      </c>
      <c r="I222" s="183">
        <v>82</v>
      </c>
      <c r="J222" s="183">
        <v>229</v>
      </c>
      <c r="K222" s="183">
        <v>260</v>
      </c>
      <c r="L222" s="183">
        <v>981</v>
      </c>
      <c r="M222" s="183">
        <v>1053</v>
      </c>
      <c r="N222" s="183">
        <v>430</v>
      </c>
      <c r="O222" s="183">
        <v>834</v>
      </c>
      <c r="P222" s="184">
        <f>SUM(D222:O222)</f>
        <v>5357</v>
      </c>
    </row>
    <row r="223" spans="2:16" s="14" customFormat="1" ht="15" customHeight="1">
      <c r="B223" s="297"/>
      <c r="C223" s="297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6"/>
    </row>
    <row r="224" spans="2:16" s="14" customFormat="1" ht="15" customHeight="1">
      <c r="B224" s="178" t="s">
        <v>30</v>
      </c>
      <c r="C224" s="179"/>
      <c r="D224" s="180">
        <f>D189</f>
        <v>3352</v>
      </c>
      <c r="E224" s="180">
        <f t="shared" ref="E224:O224" si="89">E189</f>
        <v>2510</v>
      </c>
      <c r="F224" s="180">
        <f t="shared" si="89"/>
        <v>3179</v>
      </c>
      <c r="G224" s="180">
        <f t="shared" si="89"/>
        <v>2063</v>
      </c>
      <c r="H224" s="180">
        <f t="shared" si="89"/>
        <v>2941</v>
      </c>
      <c r="I224" s="180">
        <f t="shared" si="89"/>
        <v>3286</v>
      </c>
      <c r="J224" s="180">
        <f t="shared" si="89"/>
        <v>2119</v>
      </c>
      <c r="K224" s="180">
        <f t="shared" si="89"/>
        <v>5622</v>
      </c>
      <c r="L224" s="180">
        <f t="shared" si="89"/>
        <v>10130</v>
      </c>
      <c r="M224" s="180">
        <f t="shared" si="89"/>
        <v>12093</v>
      </c>
      <c r="N224" s="180">
        <f t="shared" si="89"/>
        <v>9823</v>
      </c>
      <c r="O224" s="180">
        <f t="shared" si="89"/>
        <v>7077</v>
      </c>
      <c r="P224" s="180">
        <f>SUM(D224:O224)</f>
        <v>64195</v>
      </c>
    </row>
    <row r="225" spans="2:16" s="14" customFormat="1" ht="15" customHeight="1">
      <c r="B225" s="181"/>
      <c r="C225" s="182" t="s">
        <v>163</v>
      </c>
      <c r="D225" s="183">
        <f>D224-D226</f>
        <v>3352</v>
      </c>
      <c r="E225" s="183">
        <f t="shared" ref="E225:O225" si="90">E224-E226</f>
        <v>2510</v>
      </c>
      <c r="F225" s="183">
        <f t="shared" si="90"/>
        <v>3179</v>
      </c>
      <c r="G225" s="183">
        <f t="shared" si="90"/>
        <v>2063</v>
      </c>
      <c r="H225" s="183">
        <f t="shared" si="90"/>
        <v>2941</v>
      </c>
      <c r="I225" s="183">
        <f t="shared" si="90"/>
        <v>3286</v>
      </c>
      <c r="J225" s="183">
        <f t="shared" si="90"/>
        <v>2119</v>
      </c>
      <c r="K225" s="183">
        <f t="shared" si="90"/>
        <v>886</v>
      </c>
      <c r="L225" s="183">
        <f t="shared" si="90"/>
        <v>199</v>
      </c>
      <c r="M225" s="183">
        <f t="shared" si="90"/>
        <v>114</v>
      </c>
      <c r="N225" s="183">
        <f t="shared" si="90"/>
        <v>19</v>
      </c>
      <c r="O225" s="183">
        <f t="shared" si="90"/>
        <v>4</v>
      </c>
      <c r="P225" s="184">
        <f>SUM(D225:O225)</f>
        <v>20672</v>
      </c>
    </row>
    <row r="226" spans="2:16" s="14" customFormat="1" ht="15" customHeight="1">
      <c r="B226" s="186"/>
      <c r="C226" s="182" t="s">
        <v>164</v>
      </c>
      <c r="D226" s="183">
        <v>0</v>
      </c>
      <c r="E226" s="183"/>
      <c r="F226" s="183"/>
      <c r="G226" s="183"/>
      <c r="H226" s="183"/>
      <c r="I226" s="183"/>
      <c r="J226" s="183"/>
      <c r="K226" s="183">
        <v>4736</v>
      </c>
      <c r="L226" s="183">
        <v>9931</v>
      </c>
      <c r="M226" s="183">
        <v>11979</v>
      </c>
      <c r="N226" s="183">
        <v>9804</v>
      </c>
      <c r="O226" s="183">
        <v>7073</v>
      </c>
      <c r="P226" s="184">
        <f>SUM(D226:O226)</f>
        <v>43523</v>
      </c>
    </row>
    <row r="227" spans="2:16" s="14" customFormat="1" ht="15" customHeight="1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2:16" s="14" customFormat="1" ht="15" customHeight="1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2:16" s="14" customFormat="1" ht="15" customHeight="1" thickBot="1">
      <c r="B229" s="146" t="s">
        <v>124</v>
      </c>
      <c r="C229" s="146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8"/>
    </row>
    <row r="230" spans="2:16" s="14" customFormat="1" ht="15" customHeight="1" thickBot="1">
      <c r="B230" s="224"/>
      <c r="C230" s="225" t="s">
        <v>88</v>
      </c>
      <c r="D230" s="226">
        <v>1</v>
      </c>
      <c r="E230" s="227">
        <v>2</v>
      </c>
      <c r="F230" s="227">
        <v>3</v>
      </c>
      <c r="G230" s="227">
        <v>4</v>
      </c>
      <c r="H230" s="227">
        <v>5</v>
      </c>
      <c r="I230" s="227">
        <v>6</v>
      </c>
      <c r="J230" s="227">
        <v>7</v>
      </c>
      <c r="K230" s="227">
        <v>8</v>
      </c>
      <c r="L230" s="227">
        <v>9</v>
      </c>
      <c r="M230" s="227">
        <v>10</v>
      </c>
      <c r="N230" s="227">
        <v>11</v>
      </c>
      <c r="O230" s="227">
        <v>12</v>
      </c>
      <c r="P230" s="228" t="s">
        <v>6</v>
      </c>
    </row>
    <row r="231" spans="2:16" s="14" customFormat="1" ht="15" customHeight="1">
      <c r="B231" s="741" t="s">
        <v>132</v>
      </c>
      <c r="C231" s="229" t="s">
        <v>22</v>
      </c>
      <c r="D231" s="230">
        <v>4126</v>
      </c>
      <c r="E231" s="231">
        <v>3355</v>
      </c>
      <c r="F231" s="230">
        <v>4720</v>
      </c>
      <c r="G231" s="231">
        <v>4085</v>
      </c>
      <c r="H231" s="231">
        <v>4306</v>
      </c>
      <c r="I231" s="231">
        <v>3502</v>
      </c>
      <c r="J231" s="231">
        <v>4622</v>
      </c>
      <c r="K231" s="231">
        <v>4037</v>
      </c>
      <c r="L231" s="231">
        <v>4333</v>
      </c>
      <c r="M231" s="231">
        <v>4257</v>
      </c>
      <c r="N231" s="231">
        <v>4675</v>
      </c>
      <c r="O231" s="231">
        <v>4346</v>
      </c>
      <c r="P231" s="232">
        <f t="shared" ref="P231:P237" si="91">SUM(D231:O231)</f>
        <v>50364</v>
      </c>
    </row>
    <row r="232" spans="2:16" s="14" customFormat="1" ht="15" customHeight="1">
      <c r="B232" s="742"/>
      <c r="C232" s="229" t="s">
        <v>44</v>
      </c>
      <c r="D232" s="230">
        <v>1989</v>
      </c>
      <c r="E232" s="231">
        <v>2020</v>
      </c>
      <c r="F232" s="230">
        <v>3202</v>
      </c>
      <c r="G232" s="231">
        <v>2234</v>
      </c>
      <c r="H232" s="231">
        <v>3712</v>
      </c>
      <c r="I232" s="231">
        <v>3192</v>
      </c>
      <c r="J232" s="231">
        <v>2169</v>
      </c>
      <c r="K232" s="231">
        <v>1861</v>
      </c>
      <c r="L232" s="231">
        <v>1968</v>
      </c>
      <c r="M232" s="231">
        <v>2081</v>
      </c>
      <c r="N232" s="231">
        <v>1610</v>
      </c>
      <c r="O232" s="231">
        <v>1793</v>
      </c>
      <c r="P232" s="232">
        <f t="shared" si="91"/>
        <v>27831</v>
      </c>
    </row>
    <row r="233" spans="2:16" s="14" customFormat="1" ht="15" customHeight="1">
      <c r="B233" s="742"/>
      <c r="C233" s="229" t="s">
        <v>48</v>
      </c>
      <c r="D233" s="230">
        <v>4148</v>
      </c>
      <c r="E233" s="231">
        <v>3392</v>
      </c>
      <c r="F233" s="230">
        <v>3770</v>
      </c>
      <c r="G233" s="231">
        <v>3626</v>
      </c>
      <c r="H233" s="231">
        <v>3878</v>
      </c>
      <c r="I233" s="231">
        <v>3859</v>
      </c>
      <c r="J233" s="231">
        <v>3883</v>
      </c>
      <c r="K233" s="231">
        <v>3252</v>
      </c>
      <c r="L233" s="231">
        <v>3239</v>
      </c>
      <c r="M233" s="231">
        <v>3137</v>
      </c>
      <c r="N233" s="231">
        <v>4064</v>
      </c>
      <c r="O233" s="231">
        <v>4139</v>
      </c>
      <c r="P233" s="232">
        <f t="shared" si="91"/>
        <v>44387</v>
      </c>
    </row>
    <row r="234" spans="2:16" s="14" customFormat="1" ht="15" customHeight="1">
      <c r="B234" s="742"/>
      <c r="C234" s="229" t="s">
        <v>69</v>
      </c>
      <c r="D234" s="230">
        <v>3287</v>
      </c>
      <c r="E234" s="231">
        <v>2787</v>
      </c>
      <c r="F234" s="230">
        <v>3466</v>
      </c>
      <c r="G234" s="231">
        <v>3712</v>
      </c>
      <c r="H234" s="231">
        <v>3114</v>
      </c>
      <c r="I234" s="231">
        <v>3447</v>
      </c>
      <c r="J234" s="231">
        <v>2874</v>
      </c>
      <c r="K234" s="231">
        <v>2389</v>
      </c>
      <c r="L234" s="231">
        <v>2599</v>
      </c>
      <c r="M234" s="231">
        <v>2893</v>
      </c>
      <c r="N234" s="231">
        <v>2848</v>
      </c>
      <c r="O234" s="231">
        <v>6252</v>
      </c>
      <c r="P234" s="232">
        <f t="shared" si="91"/>
        <v>39668</v>
      </c>
    </row>
    <row r="235" spans="2:16" s="14" customFormat="1" ht="15" customHeight="1">
      <c r="B235" s="742"/>
      <c r="C235" s="229" t="s">
        <v>27</v>
      </c>
      <c r="D235" s="230">
        <v>3000</v>
      </c>
      <c r="E235" s="231">
        <v>2226</v>
      </c>
      <c r="F235" s="230">
        <v>2652</v>
      </c>
      <c r="G235" s="231">
        <v>2632</v>
      </c>
      <c r="H235" s="231">
        <v>2142</v>
      </c>
      <c r="I235" s="231">
        <v>4284</v>
      </c>
      <c r="J235" s="231">
        <v>8173</v>
      </c>
      <c r="K235" s="231">
        <v>6961</v>
      </c>
      <c r="L235" s="231">
        <v>6176</v>
      </c>
      <c r="M235" s="231">
        <v>6518</v>
      </c>
      <c r="N235" s="231">
        <v>6000</v>
      </c>
      <c r="O235" s="231">
        <v>5075</v>
      </c>
      <c r="P235" s="232">
        <f t="shared" si="91"/>
        <v>55839</v>
      </c>
    </row>
    <row r="236" spans="2:16" s="14" customFormat="1" ht="15" customHeight="1">
      <c r="B236" s="742"/>
      <c r="C236" s="229" t="s">
        <v>101</v>
      </c>
      <c r="D236" s="230">
        <v>324</v>
      </c>
      <c r="E236" s="231">
        <v>292</v>
      </c>
      <c r="F236" s="230">
        <v>438</v>
      </c>
      <c r="G236" s="231">
        <v>339</v>
      </c>
      <c r="H236" s="231">
        <v>475</v>
      </c>
      <c r="I236" s="231">
        <v>311</v>
      </c>
      <c r="J236" s="231">
        <v>267</v>
      </c>
      <c r="K236" s="231">
        <v>262</v>
      </c>
      <c r="L236" s="231">
        <v>264</v>
      </c>
      <c r="M236" s="231">
        <v>267</v>
      </c>
      <c r="N236" s="231">
        <v>200</v>
      </c>
      <c r="O236" s="231">
        <v>205</v>
      </c>
      <c r="P236" s="232">
        <f t="shared" si="91"/>
        <v>3644</v>
      </c>
    </row>
    <row r="237" spans="2:16" s="14" customFormat="1" ht="15" customHeight="1">
      <c r="B237" s="742"/>
      <c r="C237" s="233" t="s">
        <v>46</v>
      </c>
      <c r="D237" s="234">
        <v>1047</v>
      </c>
      <c r="E237" s="235">
        <v>906</v>
      </c>
      <c r="F237" s="230">
        <v>1003</v>
      </c>
      <c r="G237" s="235">
        <v>978</v>
      </c>
      <c r="H237" s="235">
        <v>1000</v>
      </c>
      <c r="I237" s="235">
        <v>921</v>
      </c>
      <c r="J237" s="235">
        <v>1000</v>
      </c>
      <c r="K237" s="235">
        <v>800</v>
      </c>
      <c r="L237" s="235">
        <v>700</v>
      </c>
      <c r="M237" s="235">
        <v>800</v>
      </c>
      <c r="N237" s="235">
        <v>717</v>
      </c>
      <c r="O237" s="235">
        <v>1006</v>
      </c>
      <c r="P237" s="232">
        <f t="shared" si="91"/>
        <v>10878</v>
      </c>
    </row>
    <row r="238" spans="2:16" s="14" customFormat="1" ht="15" customHeight="1">
      <c r="B238" s="744"/>
      <c r="C238" s="236" t="s">
        <v>6</v>
      </c>
      <c r="D238" s="237">
        <f t="shared" ref="D238:P238" si="92">SUM(D231:D237)</f>
        <v>17921</v>
      </c>
      <c r="E238" s="237">
        <f t="shared" si="92"/>
        <v>14978</v>
      </c>
      <c r="F238" s="237">
        <f t="shared" si="92"/>
        <v>19251</v>
      </c>
      <c r="G238" s="237">
        <f t="shared" si="92"/>
        <v>17606</v>
      </c>
      <c r="H238" s="237">
        <f t="shared" si="92"/>
        <v>18627</v>
      </c>
      <c r="I238" s="237">
        <f t="shared" si="92"/>
        <v>19516</v>
      </c>
      <c r="J238" s="237">
        <f t="shared" si="92"/>
        <v>22988</v>
      </c>
      <c r="K238" s="237">
        <f t="shared" si="92"/>
        <v>19562</v>
      </c>
      <c r="L238" s="237">
        <f t="shared" si="92"/>
        <v>19279</v>
      </c>
      <c r="M238" s="237">
        <f t="shared" si="92"/>
        <v>19953</v>
      </c>
      <c r="N238" s="237">
        <f t="shared" si="92"/>
        <v>20114</v>
      </c>
      <c r="O238" s="237">
        <f t="shared" si="92"/>
        <v>22816</v>
      </c>
      <c r="P238" s="238">
        <f t="shared" si="92"/>
        <v>232611</v>
      </c>
    </row>
    <row r="239" spans="2:16" s="14" customFormat="1" ht="15" customHeight="1">
      <c r="B239" s="751" t="s">
        <v>133</v>
      </c>
      <c r="C239" s="233" t="s">
        <v>29</v>
      </c>
      <c r="D239" s="234">
        <v>0</v>
      </c>
      <c r="E239" s="235"/>
      <c r="F239" s="230"/>
      <c r="G239" s="235"/>
      <c r="H239" s="235"/>
      <c r="I239" s="235"/>
      <c r="J239" s="235"/>
      <c r="K239" s="235"/>
      <c r="L239" s="235"/>
      <c r="M239" s="235"/>
      <c r="N239" s="235"/>
      <c r="O239" s="235"/>
      <c r="P239" s="239">
        <f t="shared" ref="P239:P247" si="93">SUM(D239:O239)</f>
        <v>0</v>
      </c>
    </row>
    <row r="240" spans="2:16" s="14" customFormat="1" ht="15" customHeight="1">
      <c r="B240" s="751"/>
      <c r="C240" s="233" t="s">
        <v>30</v>
      </c>
      <c r="D240" s="234">
        <v>5678</v>
      </c>
      <c r="E240" s="235">
        <v>4312</v>
      </c>
      <c r="F240" s="230">
        <v>5718</v>
      </c>
      <c r="G240" s="235">
        <v>6110</v>
      </c>
      <c r="H240" s="235">
        <v>6109</v>
      </c>
      <c r="I240" s="235">
        <v>5909</v>
      </c>
      <c r="J240" s="235">
        <v>5518</v>
      </c>
      <c r="K240" s="235">
        <v>4780</v>
      </c>
      <c r="L240" s="235">
        <v>3854</v>
      </c>
      <c r="M240" s="235">
        <v>4835</v>
      </c>
      <c r="N240" s="235">
        <v>5722</v>
      </c>
      <c r="O240" s="235">
        <v>5161</v>
      </c>
      <c r="P240" s="239">
        <f t="shared" si="93"/>
        <v>63706</v>
      </c>
    </row>
    <row r="241" spans="2:16" s="14" customFormat="1" ht="15" customHeight="1">
      <c r="B241" s="751"/>
      <c r="C241" s="229" t="s">
        <v>31</v>
      </c>
      <c r="D241" s="230">
        <v>319</v>
      </c>
      <c r="E241" s="231">
        <v>608</v>
      </c>
      <c r="F241" s="230">
        <v>1166</v>
      </c>
      <c r="G241" s="231">
        <v>943</v>
      </c>
      <c r="H241" s="231">
        <v>688</v>
      </c>
      <c r="I241" s="231">
        <v>503</v>
      </c>
      <c r="J241" s="231">
        <v>367</v>
      </c>
      <c r="K241" s="231">
        <v>175</v>
      </c>
      <c r="L241" s="231">
        <v>176</v>
      </c>
      <c r="M241" s="231">
        <v>198</v>
      </c>
      <c r="N241" s="231">
        <v>178</v>
      </c>
      <c r="O241" s="231">
        <v>243</v>
      </c>
      <c r="P241" s="239">
        <f t="shared" si="93"/>
        <v>5564</v>
      </c>
    </row>
    <row r="242" spans="2:16" s="14" customFormat="1" ht="15" customHeight="1">
      <c r="B242" s="751"/>
      <c r="C242" s="229" t="s">
        <v>104</v>
      </c>
      <c r="D242" s="230">
        <v>1025</v>
      </c>
      <c r="E242" s="231">
        <v>823</v>
      </c>
      <c r="F242" s="230">
        <v>899</v>
      </c>
      <c r="G242" s="231">
        <v>1014</v>
      </c>
      <c r="H242" s="231">
        <v>870</v>
      </c>
      <c r="I242" s="231">
        <v>924</v>
      </c>
      <c r="J242" s="231">
        <v>559</v>
      </c>
      <c r="K242" s="231">
        <v>476</v>
      </c>
      <c r="L242" s="231">
        <v>406</v>
      </c>
      <c r="M242" s="231">
        <v>381</v>
      </c>
      <c r="N242" s="231">
        <v>433</v>
      </c>
      <c r="O242" s="231">
        <v>466</v>
      </c>
      <c r="P242" s="239">
        <f t="shared" si="93"/>
        <v>8276</v>
      </c>
    </row>
    <row r="243" spans="2:16" s="14" customFormat="1" ht="15" customHeight="1">
      <c r="B243" s="751"/>
      <c r="C243" s="229" t="s">
        <v>134</v>
      </c>
      <c r="D243" s="230"/>
      <c r="E243" s="231"/>
      <c r="F243" s="230"/>
      <c r="G243" s="231"/>
      <c r="H243" s="231"/>
      <c r="I243" s="231"/>
      <c r="J243" s="231">
        <v>3335</v>
      </c>
      <c r="K243" s="231">
        <v>6109</v>
      </c>
      <c r="L243" s="231">
        <v>6109</v>
      </c>
      <c r="M243" s="231">
        <v>5511</v>
      </c>
      <c r="N243" s="231">
        <v>6136</v>
      </c>
      <c r="O243" s="231">
        <v>4801</v>
      </c>
      <c r="P243" s="239">
        <f t="shared" si="93"/>
        <v>32001</v>
      </c>
    </row>
    <row r="244" spans="2:16" s="14" customFormat="1" ht="15" customHeight="1">
      <c r="B244" s="751"/>
      <c r="C244" s="229" t="s">
        <v>87</v>
      </c>
      <c r="D244" s="230">
        <v>1209</v>
      </c>
      <c r="E244" s="231">
        <v>1774</v>
      </c>
      <c r="F244" s="230">
        <v>2771</v>
      </c>
      <c r="G244" s="231">
        <v>2953</v>
      </c>
      <c r="H244" s="231">
        <v>3080</v>
      </c>
      <c r="I244" s="231">
        <v>3130</v>
      </c>
      <c r="J244" s="231">
        <v>2620</v>
      </c>
      <c r="K244" s="231">
        <v>1721</v>
      </c>
      <c r="L244" s="231">
        <v>1414</v>
      </c>
      <c r="M244" s="231">
        <v>1610</v>
      </c>
      <c r="N244" s="231">
        <v>1741</v>
      </c>
      <c r="O244" s="231">
        <v>2223</v>
      </c>
      <c r="P244" s="239">
        <f t="shared" si="93"/>
        <v>26246</v>
      </c>
    </row>
    <row r="245" spans="2:16" s="14" customFormat="1" ht="15" customHeight="1">
      <c r="B245" s="751"/>
      <c r="C245" s="229" t="s">
        <v>75</v>
      </c>
      <c r="D245" s="230">
        <v>2755</v>
      </c>
      <c r="E245" s="231">
        <v>2214</v>
      </c>
      <c r="F245" s="230">
        <v>2673</v>
      </c>
      <c r="G245" s="231">
        <v>2628</v>
      </c>
      <c r="H245" s="231">
        <v>3320</v>
      </c>
      <c r="I245" s="231">
        <v>2579</v>
      </c>
      <c r="J245" s="231">
        <v>1860</v>
      </c>
      <c r="K245" s="231">
        <v>1485</v>
      </c>
      <c r="L245" s="231">
        <v>1745</v>
      </c>
      <c r="M245" s="231">
        <v>2260</v>
      </c>
      <c r="N245" s="231">
        <v>2564</v>
      </c>
      <c r="O245" s="231">
        <v>2188</v>
      </c>
      <c r="P245" s="239">
        <f t="shared" si="93"/>
        <v>28271</v>
      </c>
    </row>
    <row r="246" spans="2:16" s="14" customFormat="1" ht="15" customHeight="1">
      <c r="B246" s="751"/>
      <c r="C246" s="229" t="s">
        <v>83</v>
      </c>
      <c r="D246" s="230">
        <v>3617</v>
      </c>
      <c r="E246" s="231">
        <v>4157</v>
      </c>
      <c r="F246" s="230">
        <v>5626</v>
      </c>
      <c r="G246" s="231">
        <v>4452</v>
      </c>
      <c r="H246" s="231">
        <v>4548</v>
      </c>
      <c r="I246" s="231">
        <v>4281</v>
      </c>
      <c r="J246" s="231">
        <v>3166</v>
      </c>
      <c r="K246" s="231">
        <v>3476</v>
      </c>
      <c r="L246" s="231">
        <v>3743</v>
      </c>
      <c r="M246" s="231">
        <v>4581</v>
      </c>
      <c r="N246" s="231">
        <v>5600</v>
      </c>
      <c r="O246" s="231">
        <v>5078</v>
      </c>
      <c r="P246" s="232">
        <f t="shared" si="93"/>
        <v>52325</v>
      </c>
    </row>
    <row r="247" spans="2:16" s="14" customFormat="1" ht="15" customHeight="1">
      <c r="B247" s="751"/>
      <c r="C247" s="233" t="s">
        <v>35</v>
      </c>
      <c r="D247" s="234">
        <v>391</v>
      </c>
      <c r="E247" s="235">
        <v>180</v>
      </c>
      <c r="F247" s="230">
        <v>240</v>
      </c>
      <c r="G247" s="235">
        <v>159</v>
      </c>
      <c r="H247" s="235">
        <v>129</v>
      </c>
      <c r="I247" s="235">
        <v>131</v>
      </c>
      <c r="J247" s="235">
        <v>322</v>
      </c>
      <c r="K247" s="235">
        <v>434</v>
      </c>
      <c r="L247" s="235">
        <v>1754</v>
      </c>
      <c r="M247" s="235">
        <v>2283</v>
      </c>
      <c r="N247" s="235">
        <v>1468</v>
      </c>
      <c r="O247" s="235">
        <v>1747</v>
      </c>
      <c r="P247" s="232">
        <f t="shared" si="93"/>
        <v>9238</v>
      </c>
    </row>
    <row r="248" spans="2:16" s="14" customFormat="1" ht="15" customHeight="1" thickBot="1">
      <c r="B248" s="752"/>
      <c r="C248" s="236" t="s">
        <v>6</v>
      </c>
      <c r="D248" s="237">
        <f t="shared" ref="D248:P248" si="94">SUM(D239:D247)</f>
        <v>14994</v>
      </c>
      <c r="E248" s="237">
        <f t="shared" si="94"/>
        <v>14068</v>
      </c>
      <c r="F248" s="240">
        <f t="shared" si="94"/>
        <v>19093</v>
      </c>
      <c r="G248" s="237">
        <f t="shared" si="94"/>
        <v>18259</v>
      </c>
      <c r="H248" s="237">
        <f t="shared" si="94"/>
        <v>18744</v>
      </c>
      <c r="I248" s="237">
        <f t="shared" si="94"/>
        <v>17457</v>
      </c>
      <c r="J248" s="237">
        <f t="shared" si="94"/>
        <v>17747</v>
      </c>
      <c r="K248" s="237">
        <f t="shared" si="94"/>
        <v>18656</v>
      </c>
      <c r="L248" s="237">
        <f t="shared" si="94"/>
        <v>19201</v>
      </c>
      <c r="M248" s="237">
        <f t="shared" si="94"/>
        <v>21659</v>
      </c>
      <c r="N248" s="237">
        <f t="shared" si="94"/>
        <v>23842</v>
      </c>
      <c r="O248" s="237">
        <f t="shared" si="94"/>
        <v>21907</v>
      </c>
      <c r="P248" s="238">
        <f t="shared" si="94"/>
        <v>225627</v>
      </c>
    </row>
    <row r="249" spans="2:16" s="14" customFormat="1" ht="15" customHeight="1">
      <c r="B249" s="741" t="s">
        <v>36</v>
      </c>
      <c r="C249" s="241" t="s">
        <v>37</v>
      </c>
      <c r="D249" s="242">
        <v>4953</v>
      </c>
      <c r="E249" s="243">
        <v>3989</v>
      </c>
      <c r="F249" s="244">
        <v>5697</v>
      </c>
      <c r="G249" s="243">
        <v>5891</v>
      </c>
      <c r="H249" s="243">
        <v>5379</v>
      </c>
      <c r="I249" s="243">
        <v>5090</v>
      </c>
      <c r="J249" s="243">
        <v>6040</v>
      </c>
      <c r="K249" s="243">
        <v>4968</v>
      </c>
      <c r="L249" s="243">
        <v>3304</v>
      </c>
      <c r="M249" s="243">
        <v>5282</v>
      </c>
      <c r="N249" s="243">
        <v>4383</v>
      </c>
      <c r="O249" s="243">
        <v>4041</v>
      </c>
      <c r="P249" s="245">
        <f>SUM(D249:O249)</f>
        <v>59017</v>
      </c>
    </row>
    <row r="250" spans="2:16" s="14" customFormat="1" ht="15" customHeight="1">
      <c r="B250" s="742"/>
      <c r="C250" s="246" t="s">
        <v>38</v>
      </c>
      <c r="D250" s="247">
        <v>122</v>
      </c>
      <c r="E250" s="248">
        <v>84</v>
      </c>
      <c r="F250" s="230">
        <v>112</v>
      </c>
      <c r="G250" s="248">
        <v>124</v>
      </c>
      <c r="H250" s="248">
        <v>125</v>
      </c>
      <c r="I250" s="248">
        <v>119</v>
      </c>
      <c r="J250" s="248">
        <v>124</v>
      </c>
      <c r="K250" s="248">
        <v>88</v>
      </c>
      <c r="L250" s="248">
        <v>99</v>
      </c>
      <c r="M250" s="248">
        <v>97</v>
      </c>
      <c r="N250" s="248">
        <v>117</v>
      </c>
      <c r="O250" s="248">
        <v>127</v>
      </c>
      <c r="P250" s="249">
        <f>SUM(D250:O250)</f>
        <v>1338</v>
      </c>
    </row>
    <row r="251" spans="2:16" s="14" customFormat="1" ht="15" customHeight="1">
      <c r="B251" s="742"/>
      <c r="C251" s="246" t="s">
        <v>39</v>
      </c>
      <c r="D251" s="247">
        <v>20</v>
      </c>
      <c r="E251" s="248">
        <v>103</v>
      </c>
      <c r="F251" s="230">
        <v>80</v>
      </c>
      <c r="G251" s="248">
        <v>120</v>
      </c>
      <c r="H251" s="248">
        <v>125</v>
      </c>
      <c r="I251" s="248">
        <v>223</v>
      </c>
      <c r="J251" s="248">
        <v>181</v>
      </c>
      <c r="K251" s="248">
        <v>88</v>
      </c>
      <c r="L251" s="248">
        <v>122</v>
      </c>
      <c r="M251" s="248">
        <v>152</v>
      </c>
      <c r="N251" s="248">
        <v>159</v>
      </c>
      <c r="O251" s="248">
        <v>239</v>
      </c>
      <c r="P251" s="249">
        <f>SUM(D251:O251)</f>
        <v>1612</v>
      </c>
    </row>
    <row r="252" spans="2:16" s="14" customFormat="1" ht="15" customHeight="1" thickBot="1">
      <c r="B252" s="743"/>
      <c r="C252" s="250" t="s">
        <v>6</v>
      </c>
      <c r="D252" s="251">
        <f t="shared" ref="D252:P252" si="95">SUM(D249:D251)</f>
        <v>5095</v>
      </c>
      <c r="E252" s="251">
        <f t="shared" si="95"/>
        <v>4176</v>
      </c>
      <c r="F252" s="251">
        <f t="shared" si="95"/>
        <v>5889</v>
      </c>
      <c r="G252" s="251">
        <f t="shared" si="95"/>
        <v>6135</v>
      </c>
      <c r="H252" s="251">
        <f t="shared" si="95"/>
        <v>5629</v>
      </c>
      <c r="I252" s="251">
        <f t="shared" si="95"/>
        <v>5432</v>
      </c>
      <c r="J252" s="251">
        <f t="shared" si="95"/>
        <v>6345</v>
      </c>
      <c r="K252" s="251">
        <f t="shared" si="95"/>
        <v>5144</v>
      </c>
      <c r="L252" s="251">
        <f t="shared" si="95"/>
        <v>3525</v>
      </c>
      <c r="M252" s="251">
        <f t="shared" si="95"/>
        <v>5531</v>
      </c>
      <c r="N252" s="251">
        <f t="shared" si="95"/>
        <v>4659</v>
      </c>
      <c r="O252" s="251">
        <f t="shared" si="95"/>
        <v>4407</v>
      </c>
      <c r="P252" s="252">
        <f t="shared" si="95"/>
        <v>61967</v>
      </c>
    </row>
    <row r="253" spans="2:16" s="14" customFormat="1" ht="15" customHeight="1" thickBot="1">
      <c r="B253" s="733" t="s">
        <v>40</v>
      </c>
      <c r="C253" s="734"/>
      <c r="D253" s="253">
        <f t="shared" ref="D253:P253" si="96">D238+D248+D252</f>
        <v>38010</v>
      </c>
      <c r="E253" s="253">
        <f t="shared" si="96"/>
        <v>33222</v>
      </c>
      <c r="F253" s="253">
        <f t="shared" si="96"/>
        <v>44233</v>
      </c>
      <c r="G253" s="253">
        <f t="shared" si="96"/>
        <v>42000</v>
      </c>
      <c r="H253" s="253">
        <f t="shared" si="96"/>
        <v>43000</v>
      </c>
      <c r="I253" s="253">
        <f t="shared" si="96"/>
        <v>42405</v>
      </c>
      <c r="J253" s="253">
        <f t="shared" si="96"/>
        <v>47080</v>
      </c>
      <c r="K253" s="253">
        <f t="shared" si="96"/>
        <v>43362</v>
      </c>
      <c r="L253" s="253">
        <f t="shared" si="96"/>
        <v>42005</v>
      </c>
      <c r="M253" s="253">
        <f t="shared" si="96"/>
        <v>47143</v>
      </c>
      <c r="N253" s="253">
        <f t="shared" si="96"/>
        <v>48615</v>
      </c>
      <c r="O253" s="253">
        <f t="shared" si="96"/>
        <v>49130</v>
      </c>
      <c r="P253" s="254">
        <f t="shared" si="96"/>
        <v>520205</v>
      </c>
    </row>
    <row r="254" spans="2:16" s="14" customFormat="1" ht="15" customHeight="1">
      <c r="B254" s="176"/>
      <c r="C254" s="176"/>
      <c r="D254" s="75"/>
      <c r="E254" s="75"/>
      <c r="F254" s="75"/>
      <c r="G254" s="75"/>
      <c r="H254" s="75"/>
      <c r="I254" s="75"/>
      <c r="J254" s="75"/>
      <c r="K254" s="75"/>
      <c r="L254" s="75"/>
      <c r="M254" s="177"/>
      <c r="N254" s="177"/>
      <c r="O254" s="177"/>
      <c r="P254" s="75"/>
    </row>
    <row r="255" spans="2:16" s="14" customFormat="1" ht="15" customHeight="1">
      <c r="B255" s="178" t="s">
        <v>26</v>
      </c>
      <c r="C255" s="179"/>
      <c r="D255" s="180">
        <f t="shared" ref="D255:P255" si="97">D234</f>
        <v>3287</v>
      </c>
      <c r="E255" s="180">
        <f t="shared" si="97"/>
        <v>2787</v>
      </c>
      <c r="F255" s="180">
        <f t="shared" si="97"/>
        <v>3466</v>
      </c>
      <c r="G255" s="180">
        <f t="shared" si="97"/>
        <v>3712</v>
      </c>
      <c r="H255" s="180">
        <f t="shared" si="97"/>
        <v>3114</v>
      </c>
      <c r="I255" s="180">
        <f t="shared" si="97"/>
        <v>3447</v>
      </c>
      <c r="J255" s="180">
        <f t="shared" si="97"/>
        <v>2874</v>
      </c>
      <c r="K255" s="180">
        <f t="shared" si="97"/>
        <v>2389</v>
      </c>
      <c r="L255" s="180">
        <f t="shared" si="97"/>
        <v>2599</v>
      </c>
      <c r="M255" s="180">
        <f t="shared" si="97"/>
        <v>2893</v>
      </c>
      <c r="N255" s="180">
        <f t="shared" si="97"/>
        <v>2848</v>
      </c>
      <c r="O255" s="180">
        <f t="shared" si="97"/>
        <v>6252</v>
      </c>
      <c r="P255" s="180">
        <f t="shared" si="97"/>
        <v>39668</v>
      </c>
    </row>
    <row r="256" spans="2:16" s="14" customFormat="1" ht="15" customHeight="1">
      <c r="B256" s="185"/>
      <c r="C256" s="182" t="s">
        <v>71</v>
      </c>
      <c r="D256" s="183">
        <f t="shared" ref="D256:N256" si="98">D255-D257</f>
        <v>3057</v>
      </c>
      <c r="E256" s="183">
        <f t="shared" si="98"/>
        <v>2565</v>
      </c>
      <c r="F256" s="183">
        <f t="shared" si="98"/>
        <v>3327</v>
      </c>
      <c r="G256" s="183">
        <f t="shared" si="98"/>
        <v>3440</v>
      </c>
      <c r="H256" s="183">
        <f t="shared" si="98"/>
        <v>2928</v>
      </c>
      <c r="I256" s="183">
        <f t="shared" si="98"/>
        <v>3217</v>
      </c>
      <c r="J256" s="183">
        <f t="shared" si="98"/>
        <v>2721</v>
      </c>
      <c r="K256" s="183">
        <f t="shared" si="98"/>
        <v>2295</v>
      </c>
      <c r="L256" s="183">
        <f t="shared" si="98"/>
        <v>2493</v>
      </c>
      <c r="M256" s="183">
        <f t="shared" si="98"/>
        <v>2804</v>
      </c>
      <c r="N256" s="183">
        <f t="shared" si="98"/>
        <v>2757</v>
      </c>
      <c r="O256" s="183">
        <v>849</v>
      </c>
      <c r="P256" s="184">
        <f>SUM(D256:O256)</f>
        <v>32453</v>
      </c>
    </row>
    <row r="257" spans="2:16" s="14" customFormat="1" ht="15" customHeight="1">
      <c r="B257" s="185"/>
      <c r="C257" s="182" t="s">
        <v>90</v>
      </c>
      <c r="D257" s="183">
        <v>230</v>
      </c>
      <c r="E257" s="183">
        <v>222</v>
      </c>
      <c r="F257" s="183">
        <v>139</v>
      </c>
      <c r="G257" s="183">
        <v>272</v>
      </c>
      <c r="H257" s="183">
        <v>186</v>
      </c>
      <c r="I257" s="183">
        <v>230</v>
      </c>
      <c r="J257" s="183">
        <v>153</v>
      </c>
      <c r="K257" s="183">
        <v>94</v>
      </c>
      <c r="L257" s="183">
        <v>106</v>
      </c>
      <c r="M257" s="183">
        <v>89</v>
      </c>
      <c r="N257" s="183">
        <v>91</v>
      </c>
      <c r="O257" s="183">
        <v>69</v>
      </c>
      <c r="P257" s="184">
        <f>SUM(D257:O257)</f>
        <v>1881</v>
      </c>
    </row>
    <row r="258" spans="2:16" s="14" customFormat="1" ht="15" customHeight="1">
      <c r="B258" s="296"/>
      <c r="C258" s="182" t="s">
        <v>136</v>
      </c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>
        <v>5128</v>
      </c>
      <c r="P258" s="294">
        <f>SUM(D258:O258)</f>
        <v>5128</v>
      </c>
    </row>
    <row r="259" spans="2:16" s="14" customFormat="1" ht="15" customHeight="1">
      <c r="B259" s="295"/>
      <c r="C259" s="182" t="s">
        <v>137</v>
      </c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>
        <v>206</v>
      </c>
      <c r="P259" s="294">
        <f>SUM(D259:O259)</f>
        <v>206</v>
      </c>
    </row>
    <row r="260" spans="2:16" s="14" customFormat="1" ht="15" customHeight="1">
      <c r="B260" s="187"/>
      <c r="C260" s="188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90"/>
    </row>
    <row r="261" spans="2:16" s="14" customFormat="1" ht="15" customHeight="1">
      <c r="B261" s="178" t="s">
        <v>27</v>
      </c>
      <c r="C261" s="179"/>
      <c r="D261" s="180">
        <f t="shared" ref="D261:P261" si="99">D235</f>
        <v>3000</v>
      </c>
      <c r="E261" s="180">
        <f t="shared" si="99"/>
        <v>2226</v>
      </c>
      <c r="F261" s="180">
        <f t="shared" si="99"/>
        <v>2652</v>
      </c>
      <c r="G261" s="180">
        <f t="shared" si="99"/>
        <v>2632</v>
      </c>
      <c r="H261" s="180">
        <f t="shared" si="99"/>
        <v>2142</v>
      </c>
      <c r="I261" s="180">
        <f t="shared" si="99"/>
        <v>4284</v>
      </c>
      <c r="J261" s="180">
        <f t="shared" si="99"/>
        <v>8173</v>
      </c>
      <c r="K261" s="180">
        <f t="shared" si="99"/>
        <v>6961</v>
      </c>
      <c r="L261" s="180">
        <f t="shared" si="99"/>
        <v>6176</v>
      </c>
      <c r="M261" s="180">
        <f t="shared" si="99"/>
        <v>6518</v>
      </c>
      <c r="N261" s="180">
        <f t="shared" si="99"/>
        <v>6000</v>
      </c>
      <c r="O261" s="180">
        <f t="shared" si="99"/>
        <v>5075</v>
      </c>
      <c r="P261" s="180">
        <f t="shared" si="99"/>
        <v>55839</v>
      </c>
    </row>
    <row r="262" spans="2:16" s="14" customFormat="1" ht="15" customHeight="1">
      <c r="B262" s="181"/>
      <c r="C262" s="182" t="s">
        <v>85</v>
      </c>
      <c r="D262" s="191">
        <f t="shared" ref="D262:O262" si="100">D261-D263</f>
        <v>2425</v>
      </c>
      <c r="E262" s="191">
        <f t="shared" si="100"/>
        <v>1755</v>
      </c>
      <c r="F262" s="191">
        <f t="shared" si="100"/>
        <v>2149</v>
      </c>
      <c r="G262" s="191">
        <f t="shared" si="100"/>
        <v>2237</v>
      </c>
      <c r="H262" s="191">
        <f t="shared" si="100"/>
        <v>1717</v>
      </c>
      <c r="I262" s="191">
        <f t="shared" si="100"/>
        <v>3340</v>
      </c>
      <c r="J262" s="191">
        <f t="shared" si="100"/>
        <v>6609</v>
      </c>
      <c r="K262" s="191">
        <f t="shared" si="100"/>
        <v>6204</v>
      </c>
      <c r="L262" s="191">
        <f t="shared" si="100"/>
        <v>5180</v>
      </c>
      <c r="M262" s="191">
        <f t="shared" si="100"/>
        <v>5820</v>
      </c>
      <c r="N262" s="191">
        <f t="shared" si="100"/>
        <v>5040</v>
      </c>
      <c r="O262" s="191">
        <f t="shared" si="100"/>
        <v>4055</v>
      </c>
      <c r="P262" s="184">
        <f>SUM(D262:O262)</f>
        <v>46531</v>
      </c>
    </row>
    <row r="263" spans="2:16" s="14" customFormat="1" ht="15" customHeight="1">
      <c r="B263" s="186"/>
      <c r="C263" s="182" t="s">
        <v>96</v>
      </c>
      <c r="D263" s="183">
        <v>575</v>
      </c>
      <c r="E263" s="183">
        <v>471</v>
      </c>
      <c r="F263" s="183">
        <v>503</v>
      </c>
      <c r="G263" s="183">
        <v>395</v>
      </c>
      <c r="H263" s="183">
        <v>425</v>
      </c>
      <c r="I263" s="183">
        <v>944</v>
      </c>
      <c r="J263" s="183">
        <v>1564</v>
      </c>
      <c r="K263" s="183">
        <v>757</v>
      </c>
      <c r="L263" s="183">
        <v>996</v>
      </c>
      <c r="M263" s="183">
        <v>698</v>
      </c>
      <c r="N263" s="183">
        <v>960</v>
      </c>
      <c r="O263" s="183">
        <v>1020</v>
      </c>
      <c r="P263" s="184">
        <f>SUM(D263:O263)</f>
        <v>9308</v>
      </c>
    </row>
    <row r="264" spans="2:16" s="14" customFormat="1" ht="15" customHeight="1">
      <c r="B264" s="187"/>
      <c r="C264" s="188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90"/>
    </row>
    <row r="265" spans="2:16" s="14" customFormat="1" ht="15" customHeight="1">
      <c r="B265" s="178" t="s">
        <v>86</v>
      </c>
      <c r="C265" s="179"/>
      <c r="D265" s="180">
        <f t="shared" ref="D265:O265" si="101">D244</f>
        <v>1209</v>
      </c>
      <c r="E265" s="180">
        <f t="shared" si="101"/>
        <v>1774</v>
      </c>
      <c r="F265" s="180">
        <f t="shared" si="101"/>
        <v>2771</v>
      </c>
      <c r="G265" s="180">
        <f t="shared" si="101"/>
        <v>2953</v>
      </c>
      <c r="H265" s="180">
        <f t="shared" si="101"/>
        <v>3080</v>
      </c>
      <c r="I265" s="180">
        <f t="shared" si="101"/>
        <v>3130</v>
      </c>
      <c r="J265" s="180">
        <f t="shared" si="101"/>
        <v>2620</v>
      </c>
      <c r="K265" s="180">
        <f t="shared" si="101"/>
        <v>1721</v>
      </c>
      <c r="L265" s="180">
        <f t="shared" si="101"/>
        <v>1414</v>
      </c>
      <c r="M265" s="180">
        <f t="shared" si="101"/>
        <v>1610</v>
      </c>
      <c r="N265" s="180">
        <f t="shared" si="101"/>
        <v>1741</v>
      </c>
      <c r="O265" s="180">
        <f t="shared" si="101"/>
        <v>2223</v>
      </c>
      <c r="P265" s="180">
        <f>SUM(D265:O265)</f>
        <v>26246</v>
      </c>
    </row>
    <row r="266" spans="2:16" s="14" customFormat="1" ht="15" customHeight="1">
      <c r="B266" s="181"/>
      <c r="C266" s="182" t="s">
        <v>117</v>
      </c>
      <c r="D266" s="183">
        <f t="shared" ref="D266:N266" si="102">D265-D267</f>
        <v>1209</v>
      </c>
      <c r="E266" s="183">
        <f t="shared" si="102"/>
        <v>1363</v>
      </c>
      <c r="F266" s="183">
        <f t="shared" si="102"/>
        <v>1727</v>
      </c>
      <c r="G266" s="183">
        <f t="shared" si="102"/>
        <v>2074</v>
      </c>
      <c r="H266" s="183">
        <f t="shared" si="102"/>
        <v>2194</v>
      </c>
      <c r="I266" s="183">
        <f t="shared" si="102"/>
        <v>2393</v>
      </c>
      <c r="J266" s="183">
        <f t="shared" si="102"/>
        <v>1836</v>
      </c>
      <c r="K266" s="183">
        <f t="shared" si="102"/>
        <v>1221</v>
      </c>
      <c r="L266" s="183">
        <f t="shared" si="102"/>
        <v>1032</v>
      </c>
      <c r="M266" s="183">
        <f t="shared" si="102"/>
        <v>1301</v>
      </c>
      <c r="N266" s="183">
        <f t="shared" si="102"/>
        <v>1678</v>
      </c>
      <c r="O266" s="183">
        <f>O265-O267</f>
        <v>2219</v>
      </c>
      <c r="P266" s="184">
        <f>SUM(D266:O266)</f>
        <v>20247</v>
      </c>
    </row>
    <row r="267" spans="2:16" s="14" customFormat="1" ht="15" customHeight="1">
      <c r="B267" s="186"/>
      <c r="C267" s="182" t="s">
        <v>118</v>
      </c>
      <c r="D267" s="183">
        <v>0</v>
      </c>
      <c r="E267" s="183">
        <v>411</v>
      </c>
      <c r="F267" s="183">
        <v>1044</v>
      </c>
      <c r="G267" s="183">
        <v>879</v>
      </c>
      <c r="H267" s="183">
        <v>886</v>
      </c>
      <c r="I267" s="183">
        <v>737</v>
      </c>
      <c r="J267" s="183">
        <v>784</v>
      </c>
      <c r="K267" s="183">
        <v>500</v>
      </c>
      <c r="L267" s="183">
        <v>382</v>
      </c>
      <c r="M267" s="183">
        <v>309</v>
      </c>
      <c r="N267" s="183">
        <v>63</v>
      </c>
      <c r="O267" s="183">
        <v>4</v>
      </c>
      <c r="P267" s="184">
        <f>SUM(D267:O267)</f>
        <v>5999</v>
      </c>
    </row>
    <row r="268" spans="2:16" s="14" customFormat="1" ht="15" customHeight="1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2:16" s="14" customFormat="1" ht="15" customHeight="1">
      <c r="B269" s="178" t="s">
        <v>31</v>
      </c>
      <c r="C269" s="179"/>
      <c r="D269" s="180">
        <f t="shared" ref="D269:O269" si="103">D241</f>
        <v>319</v>
      </c>
      <c r="E269" s="180">
        <f t="shared" si="103"/>
        <v>608</v>
      </c>
      <c r="F269" s="180">
        <f t="shared" si="103"/>
        <v>1166</v>
      </c>
      <c r="G269" s="180">
        <f t="shared" si="103"/>
        <v>943</v>
      </c>
      <c r="H269" s="180">
        <f t="shared" si="103"/>
        <v>688</v>
      </c>
      <c r="I269" s="180">
        <f t="shared" si="103"/>
        <v>503</v>
      </c>
      <c r="J269" s="180">
        <f t="shared" si="103"/>
        <v>367</v>
      </c>
      <c r="K269" s="180">
        <f t="shared" si="103"/>
        <v>175</v>
      </c>
      <c r="L269" s="180">
        <f t="shared" si="103"/>
        <v>176</v>
      </c>
      <c r="M269" s="180">
        <f t="shared" si="103"/>
        <v>198</v>
      </c>
      <c r="N269" s="180">
        <f t="shared" si="103"/>
        <v>178</v>
      </c>
      <c r="O269" s="180">
        <f t="shared" si="103"/>
        <v>243</v>
      </c>
      <c r="P269" s="180">
        <f>SUM(D269:O269)</f>
        <v>5564</v>
      </c>
    </row>
    <row r="270" spans="2:16" s="14" customFormat="1" ht="15" customHeight="1">
      <c r="B270" s="181"/>
      <c r="C270" s="182" t="s">
        <v>125</v>
      </c>
      <c r="D270" s="183">
        <v>60</v>
      </c>
      <c r="E270" s="183">
        <v>12</v>
      </c>
      <c r="F270" s="183">
        <v>0</v>
      </c>
      <c r="G270" s="183"/>
      <c r="H270" s="183"/>
      <c r="I270" s="183"/>
      <c r="J270" s="183"/>
      <c r="K270" s="183"/>
      <c r="L270" s="183"/>
      <c r="M270" s="183"/>
      <c r="N270" s="183"/>
      <c r="O270" s="183"/>
      <c r="P270" s="184">
        <f>SUM(D270:O270)</f>
        <v>72</v>
      </c>
    </row>
    <row r="271" spans="2:16" s="14" customFormat="1" ht="15" customHeight="1">
      <c r="B271" s="181"/>
      <c r="C271" s="182" t="s">
        <v>126</v>
      </c>
      <c r="D271" s="183">
        <v>0</v>
      </c>
      <c r="E271" s="183">
        <v>0</v>
      </c>
      <c r="F271" s="183">
        <v>0</v>
      </c>
      <c r="G271" s="183"/>
      <c r="H271" s="183"/>
      <c r="I271" s="183"/>
      <c r="J271" s="183"/>
      <c r="K271" s="183"/>
      <c r="L271" s="183"/>
      <c r="M271" s="183"/>
      <c r="N271" s="183"/>
      <c r="O271" s="183"/>
      <c r="P271" s="184">
        <f>SUM(D271:O271)</f>
        <v>0</v>
      </c>
    </row>
    <row r="272" spans="2:16" s="14" customFormat="1" ht="15" customHeight="1">
      <c r="B272" s="181"/>
      <c r="C272" s="182" t="s">
        <v>127</v>
      </c>
      <c r="D272" s="183">
        <v>259</v>
      </c>
      <c r="E272" s="183">
        <v>596</v>
      </c>
      <c r="F272" s="183">
        <v>778</v>
      </c>
      <c r="G272" s="183">
        <f>G269-G273</f>
        <v>582</v>
      </c>
      <c r="H272" s="183">
        <f t="shared" ref="H272:O272" si="104">H269-H273</f>
        <v>442</v>
      </c>
      <c r="I272" s="183">
        <f t="shared" si="104"/>
        <v>371</v>
      </c>
      <c r="J272" s="183">
        <f t="shared" si="104"/>
        <v>258</v>
      </c>
      <c r="K272" s="183">
        <f t="shared" si="104"/>
        <v>106</v>
      </c>
      <c r="L272" s="183">
        <f t="shared" si="104"/>
        <v>99</v>
      </c>
      <c r="M272" s="183">
        <f t="shared" si="104"/>
        <v>105</v>
      </c>
      <c r="N272" s="183">
        <f t="shared" si="104"/>
        <v>95</v>
      </c>
      <c r="O272" s="183">
        <f t="shared" si="104"/>
        <v>230</v>
      </c>
      <c r="P272" s="184">
        <f>SUM(D272:O272)</f>
        <v>3921</v>
      </c>
    </row>
    <row r="273" spans="2:18" s="14" customFormat="1" ht="15" customHeight="1">
      <c r="B273" s="186"/>
      <c r="C273" s="182" t="s">
        <v>128</v>
      </c>
      <c r="D273" s="183">
        <v>0</v>
      </c>
      <c r="E273" s="183">
        <v>0</v>
      </c>
      <c r="F273" s="183">
        <v>388</v>
      </c>
      <c r="G273" s="183">
        <v>361</v>
      </c>
      <c r="H273" s="183">
        <v>246</v>
      </c>
      <c r="I273" s="183">
        <v>132</v>
      </c>
      <c r="J273" s="183">
        <v>109</v>
      </c>
      <c r="K273" s="183">
        <v>69</v>
      </c>
      <c r="L273" s="183">
        <v>77</v>
      </c>
      <c r="M273" s="183">
        <v>93</v>
      </c>
      <c r="N273" s="183">
        <v>83</v>
      </c>
      <c r="O273" s="183">
        <v>13</v>
      </c>
      <c r="P273" s="184">
        <f>SUM(D273:O273)</f>
        <v>1571</v>
      </c>
    </row>
    <row r="274" spans="2:18" s="14" customFormat="1" ht="15" customHeight="1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2:18" s="14" customFormat="1" ht="15" customHeight="1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2:18" s="14" customFormat="1" ht="15" customHeight="1" thickBot="1">
      <c r="B276" s="146" t="s">
        <v>108</v>
      </c>
      <c r="C276" s="146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8"/>
    </row>
    <row r="277" spans="2:18" s="14" customFormat="1" ht="15" customHeight="1" thickBot="1">
      <c r="B277" s="224"/>
      <c r="C277" s="225" t="s">
        <v>88</v>
      </c>
      <c r="D277" s="226">
        <v>1</v>
      </c>
      <c r="E277" s="227">
        <v>2</v>
      </c>
      <c r="F277" s="227">
        <v>3</v>
      </c>
      <c r="G277" s="227">
        <v>4</v>
      </c>
      <c r="H277" s="227">
        <v>5</v>
      </c>
      <c r="I277" s="227">
        <v>6</v>
      </c>
      <c r="J277" s="227">
        <v>7</v>
      </c>
      <c r="K277" s="227">
        <v>8</v>
      </c>
      <c r="L277" s="227">
        <v>9</v>
      </c>
      <c r="M277" s="227">
        <v>10</v>
      </c>
      <c r="N277" s="227">
        <v>11</v>
      </c>
      <c r="O277" s="227">
        <v>12</v>
      </c>
      <c r="P277" s="228" t="s">
        <v>6</v>
      </c>
    </row>
    <row r="278" spans="2:18" s="14" customFormat="1" ht="15" customHeight="1">
      <c r="B278" s="741"/>
      <c r="C278" s="229" t="s">
        <v>22</v>
      </c>
      <c r="D278" s="230">
        <v>4487</v>
      </c>
      <c r="E278" s="231">
        <v>4560</v>
      </c>
      <c r="F278" s="230">
        <v>5353</v>
      </c>
      <c r="G278" s="231">
        <v>5293</v>
      </c>
      <c r="H278" s="231">
        <v>5021</v>
      </c>
      <c r="I278" s="231">
        <v>4898</v>
      </c>
      <c r="J278" s="231">
        <v>5161</v>
      </c>
      <c r="K278" s="231">
        <v>5180</v>
      </c>
      <c r="L278" s="231">
        <v>3829</v>
      </c>
      <c r="M278" s="231">
        <v>5289</v>
      </c>
      <c r="N278" s="231">
        <v>5333</v>
      </c>
      <c r="O278" s="231">
        <v>4638</v>
      </c>
      <c r="P278" s="232">
        <f t="shared" ref="P278:P284" si="105">SUM(D278:O278)</f>
        <v>59042</v>
      </c>
    </row>
    <row r="279" spans="2:18" s="14" customFormat="1" ht="15" customHeight="1">
      <c r="B279" s="742"/>
      <c r="C279" s="229" t="s">
        <v>44</v>
      </c>
      <c r="D279" s="230">
        <v>2645</v>
      </c>
      <c r="E279" s="231">
        <v>2397</v>
      </c>
      <c r="F279" s="230">
        <v>2713</v>
      </c>
      <c r="G279" s="231">
        <v>2619</v>
      </c>
      <c r="H279" s="231">
        <v>2282</v>
      </c>
      <c r="I279" s="231">
        <v>1969</v>
      </c>
      <c r="J279" s="231">
        <v>2272</v>
      </c>
      <c r="K279" s="231">
        <v>2253</v>
      </c>
      <c r="L279" s="231">
        <v>1562</v>
      </c>
      <c r="M279" s="231">
        <v>2313</v>
      </c>
      <c r="N279" s="231">
        <v>2191</v>
      </c>
      <c r="O279" s="231">
        <v>1805</v>
      </c>
      <c r="P279" s="232">
        <f t="shared" si="105"/>
        <v>27021</v>
      </c>
    </row>
    <row r="280" spans="2:18" s="14" customFormat="1" ht="15" customHeight="1">
      <c r="B280" s="742"/>
      <c r="C280" s="229" t="s">
        <v>48</v>
      </c>
      <c r="D280" s="230">
        <v>1596</v>
      </c>
      <c r="E280" s="231">
        <v>1975</v>
      </c>
      <c r="F280" s="230">
        <v>5085</v>
      </c>
      <c r="G280" s="231">
        <v>6925</v>
      </c>
      <c r="H280" s="231">
        <v>5024</v>
      </c>
      <c r="I280" s="231">
        <v>4074</v>
      </c>
      <c r="J280" s="231">
        <v>3583</v>
      </c>
      <c r="K280" s="231">
        <v>2668</v>
      </c>
      <c r="L280" s="231">
        <v>2382</v>
      </c>
      <c r="M280" s="231">
        <v>4114</v>
      </c>
      <c r="N280" s="231">
        <v>3891</v>
      </c>
      <c r="O280" s="231">
        <v>3197</v>
      </c>
      <c r="P280" s="232">
        <f t="shared" si="105"/>
        <v>44514</v>
      </c>
    </row>
    <row r="281" spans="2:18" s="14" customFormat="1" ht="15" customHeight="1">
      <c r="B281" s="742"/>
      <c r="C281" s="229" t="s">
        <v>69</v>
      </c>
      <c r="D281" s="230">
        <v>2826</v>
      </c>
      <c r="E281" s="231">
        <v>3840</v>
      </c>
      <c r="F281" s="230">
        <v>5043</v>
      </c>
      <c r="G281" s="231">
        <v>4119</v>
      </c>
      <c r="H281" s="231">
        <v>3613</v>
      </c>
      <c r="I281" s="231">
        <v>3723</v>
      </c>
      <c r="J281" s="231">
        <v>4145</v>
      </c>
      <c r="K281" s="231">
        <v>3865</v>
      </c>
      <c r="L281" s="231">
        <v>3310</v>
      </c>
      <c r="M281" s="231">
        <v>4250</v>
      </c>
      <c r="N281" s="231">
        <v>4951</v>
      </c>
      <c r="O281" s="231">
        <v>4818</v>
      </c>
      <c r="P281" s="232">
        <f t="shared" si="105"/>
        <v>48503</v>
      </c>
    </row>
    <row r="282" spans="2:18" s="14" customFormat="1" ht="15" customHeight="1">
      <c r="B282" s="742"/>
      <c r="C282" s="229" t="s">
        <v>27</v>
      </c>
      <c r="D282" s="230">
        <v>3348</v>
      </c>
      <c r="E282" s="231">
        <v>3015</v>
      </c>
      <c r="F282" s="230">
        <v>3309</v>
      </c>
      <c r="G282" s="231">
        <v>3002</v>
      </c>
      <c r="H282" s="231">
        <v>2890</v>
      </c>
      <c r="I282" s="231">
        <v>3135</v>
      </c>
      <c r="J282" s="231">
        <v>3281</v>
      </c>
      <c r="K282" s="231">
        <v>3305</v>
      </c>
      <c r="L282" s="231">
        <v>2996</v>
      </c>
      <c r="M282" s="231">
        <v>3784</v>
      </c>
      <c r="N282" s="231">
        <v>4741</v>
      </c>
      <c r="O282" s="231">
        <v>4172</v>
      </c>
      <c r="P282" s="232">
        <f t="shared" si="105"/>
        <v>40978</v>
      </c>
    </row>
    <row r="283" spans="2:18" s="14" customFormat="1" ht="15" customHeight="1">
      <c r="B283" s="742"/>
      <c r="C283" s="229" t="s">
        <v>101</v>
      </c>
      <c r="D283" s="230">
        <v>484</v>
      </c>
      <c r="E283" s="231">
        <v>448</v>
      </c>
      <c r="F283" s="230">
        <v>468</v>
      </c>
      <c r="G283" s="231">
        <v>463</v>
      </c>
      <c r="H283" s="231">
        <v>669</v>
      </c>
      <c r="I283" s="231">
        <v>593</v>
      </c>
      <c r="J283" s="231">
        <v>621</v>
      </c>
      <c r="K283" s="231">
        <v>437</v>
      </c>
      <c r="L283" s="231">
        <v>332</v>
      </c>
      <c r="M283" s="231">
        <v>438</v>
      </c>
      <c r="N283" s="231">
        <v>366</v>
      </c>
      <c r="O283" s="231">
        <v>381</v>
      </c>
      <c r="P283" s="232">
        <f t="shared" si="105"/>
        <v>5700</v>
      </c>
    </row>
    <row r="284" spans="2:18" s="14" customFormat="1" ht="15" customHeight="1">
      <c r="B284" s="742"/>
      <c r="C284" s="233" t="s">
        <v>46</v>
      </c>
      <c r="D284" s="234">
        <v>127</v>
      </c>
      <c r="E284" s="235">
        <v>39</v>
      </c>
      <c r="F284" s="230">
        <v>47</v>
      </c>
      <c r="G284" s="235">
        <v>1222</v>
      </c>
      <c r="H284" s="235">
        <v>1705</v>
      </c>
      <c r="I284" s="235">
        <v>1661</v>
      </c>
      <c r="J284" s="235">
        <v>1455</v>
      </c>
      <c r="K284" s="235">
        <v>1204</v>
      </c>
      <c r="L284" s="235">
        <v>1008</v>
      </c>
      <c r="M284" s="235">
        <v>1220</v>
      </c>
      <c r="N284" s="235">
        <v>1073</v>
      </c>
      <c r="O284" s="235">
        <v>1082</v>
      </c>
      <c r="P284" s="232">
        <f t="shared" si="105"/>
        <v>11843</v>
      </c>
      <c r="R284" s="282"/>
    </row>
    <row r="285" spans="2:18" s="14" customFormat="1" ht="15" customHeight="1">
      <c r="B285" s="744"/>
      <c r="C285" s="236" t="s">
        <v>6</v>
      </c>
      <c r="D285" s="237">
        <f t="shared" ref="D285:P285" si="106">SUM(D278:D284)</f>
        <v>15513</v>
      </c>
      <c r="E285" s="237">
        <f t="shared" si="106"/>
        <v>16274</v>
      </c>
      <c r="F285" s="237">
        <f t="shared" si="106"/>
        <v>22018</v>
      </c>
      <c r="G285" s="237">
        <f t="shared" si="106"/>
        <v>23643</v>
      </c>
      <c r="H285" s="237">
        <f t="shared" si="106"/>
        <v>21204</v>
      </c>
      <c r="I285" s="237">
        <f t="shared" si="106"/>
        <v>20053</v>
      </c>
      <c r="J285" s="237">
        <f t="shared" si="106"/>
        <v>20518</v>
      </c>
      <c r="K285" s="237">
        <f t="shared" si="106"/>
        <v>18912</v>
      </c>
      <c r="L285" s="237">
        <f t="shared" si="106"/>
        <v>15419</v>
      </c>
      <c r="M285" s="237">
        <f t="shared" si="106"/>
        <v>21408</v>
      </c>
      <c r="N285" s="237">
        <f t="shared" si="106"/>
        <v>22546</v>
      </c>
      <c r="O285" s="237">
        <f t="shared" si="106"/>
        <v>20093</v>
      </c>
      <c r="P285" s="238">
        <f t="shared" si="106"/>
        <v>237601</v>
      </c>
    </row>
    <row r="286" spans="2:18" s="14" customFormat="1" ht="15" customHeight="1">
      <c r="B286" s="751"/>
      <c r="C286" s="233" t="s">
        <v>29</v>
      </c>
      <c r="D286" s="234">
        <v>185</v>
      </c>
      <c r="E286" s="235">
        <v>143</v>
      </c>
      <c r="F286" s="230">
        <v>187</v>
      </c>
      <c r="G286" s="235">
        <v>211</v>
      </c>
      <c r="H286" s="235">
        <v>199</v>
      </c>
      <c r="I286" s="235">
        <v>230</v>
      </c>
      <c r="J286" s="235">
        <v>228</v>
      </c>
      <c r="K286" s="235">
        <v>193</v>
      </c>
      <c r="L286" s="235">
        <v>135</v>
      </c>
      <c r="M286" s="235">
        <v>1</v>
      </c>
      <c r="N286" s="235">
        <v>0</v>
      </c>
      <c r="O286" s="235">
        <v>0</v>
      </c>
      <c r="P286" s="239">
        <f t="shared" ref="P286:P294" si="107">SUM(D286:O286)</f>
        <v>1712</v>
      </c>
    </row>
    <row r="287" spans="2:18" s="14" customFormat="1" ht="15" customHeight="1">
      <c r="B287" s="751"/>
      <c r="C287" s="233" t="s">
        <v>30</v>
      </c>
      <c r="D287" s="234">
        <v>4669</v>
      </c>
      <c r="E287" s="235">
        <v>3096</v>
      </c>
      <c r="F287" s="230">
        <v>5708</v>
      </c>
      <c r="G287" s="235">
        <v>8828</v>
      </c>
      <c r="H287" s="235">
        <v>8002</v>
      </c>
      <c r="I287" s="235">
        <v>7059</v>
      </c>
      <c r="J287" s="235">
        <v>7474</v>
      </c>
      <c r="K287" s="235">
        <v>6918</v>
      </c>
      <c r="L287" s="235">
        <v>5760</v>
      </c>
      <c r="M287" s="235">
        <v>6829</v>
      </c>
      <c r="N287" s="235">
        <v>6571</v>
      </c>
      <c r="O287" s="235">
        <v>5448</v>
      </c>
      <c r="P287" s="239">
        <f t="shared" si="107"/>
        <v>76362</v>
      </c>
    </row>
    <row r="288" spans="2:18" s="14" customFormat="1" ht="15" customHeight="1">
      <c r="B288" s="751"/>
      <c r="C288" s="229" t="s">
        <v>31</v>
      </c>
      <c r="D288" s="230">
        <v>96</v>
      </c>
      <c r="E288" s="231">
        <v>134</v>
      </c>
      <c r="F288" s="230">
        <v>297</v>
      </c>
      <c r="G288" s="231">
        <v>305</v>
      </c>
      <c r="H288" s="231">
        <v>236</v>
      </c>
      <c r="I288" s="231">
        <v>445</v>
      </c>
      <c r="J288" s="231">
        <v>357</v>
      </c>
      <c r="K288" s="231">
        <v>328</v>
      </c>
      <c r="L288" s="231">
        <v>117</v>
      </c>
      <c r="M288" s="231">
        <v>38</v>
      </c>
      <c r="N288" s="231">
        <v>29</v>
      </c>
      <c r="O288" s="231">
        <v>24</v>
      </c>
      <c r="P288" s="239">
        <f t="shared" si="107"/>
        <v>2406</v>
      </c>
    </row>
    <row r="289" spans="2:16" s="14" customFormat="1" ht="15" customHeight="1">
      <c r="B289" s="751"/>
      <c r="C289" s="229" t="s">
        <v>104</v>
      </c>
      <c r="D289" s="230">
        <v>1987</v>
      </c>
      <c r="E289" s="231">
        <v>1616</v>
      </c>
      <c r="F289" s="230">
        <v>1625</v>
      </c>
      <c r="G289" s="231">
        <v>1487</v>
      </c>
      <c r="H289" s="231">
        <v>1004</v>
      </c>
      <c r="I289" s="231">
        <v>1488</v>
      </c>
      <c r="J289" s="231">
        <v>1266</v>
      </c>
      <c r="K289" s="231">
        <v>1215</v>
      </c>
      <c r="L289" s="231">
        <v>1039</v>
      </c>
      <c r="M289" s="231">
        <v>1042</v>
      </c>
      <c r="N289" s="231">
        <v>1377</v>
      </c>
      <c r="O289" s="231">
        <v>1159</v>
      </c>
      <c r="P289" s="239">
        <f t="shared" si="107"/>
        <v>16305</v>
      </c>
    </row>
    <row r="290" spans="2:16" s="14" customFormat="1" ht="15" customHeight="1">
      <c r="B290" s="751"/>
      <c r="C290" s="229" t="s">
        <v>134</v>
      </c>
      <c r="D290" s="230"/>
      <c r="E290" s="231"/>
      <c r="F290" s="230"/>
      <c r="G290" s="231"/>
      <c r="H290" s="231"/>
      <c r="I290" s="231"/>
      <c r="J290" s="231"/>
      <c r="K290" s="231"/>
      <c r="L290" s="231"/>
      <c r="M290" s="231"/>
      <c r="N290" s="231"/>
      <c r="O290" s="231"/>
      <c r="P290" s="239">
        <f t="shared" si="107"/>
        <v>0</v>
      </c>
    </row>
    <row r="291" spans="2:16" s="14" customFormat="1" ht="15" customHeight="1">
      <c r="B291" s="751"/>
      <c r="C291" s="229" t="s">
        <v>87</v>
      </c>
      <c r="D291" s="230">
        <v>1516</v>
      </c>
      <c r="E291" s="231">
        <v>1658</v>
      </c>
      <c r="F291" s="230">
        <v>1982</v>
      </c>
      <c r="G291" s="231">
        <v>1403</v>
      </c>
      <c r="H291" s="231">
        <v>1687</v>
      </c>
      <c r="I291" s="231">
        <v>1536</v>
      </c>
      <c r="J291" s="231">
        <v>1908</v>
      </c>
      <c r="K291" s="231">
        <v>2723</v>
      </c>
      <c r="L291" s="231">
        <v>1999</v>
      </c>
      <c r="M291" s="231">
        <v>2099</v>
      </c>
      <c r="N291" s="231">
        <v>2280</v>
      </c>
      <c r="O291" s="231">
        <v>2020</v>
      </c>
      <c r="P291" s="239">
        <f t="shared" si="107"/>
        <v>22811</v>
      </c>
    </row>
    <row r="292" spans="2:16" s="14" customFormat="1" ht="15" customHeight="1">
      <c r="B292" s="751"/>
      <c r="C292" s="229" t="s">
        <v>75</v>
      </c>
      <c r="D292" s="230">
        <v>3353</v>
      </c>
      <c r="E292" s="231">
        <v>2699</v>
      </c>
      <c r="F292" s="230">
        <v>3147</v>
      </c>
      <c r="G292" s="231">
        <v>2726</v>
      </c>
      <c r="H292" s="231">
        <v>2856</v>
      </c>
      <c r="I292" s="231">
        <v>2943</v>
      </c>
      <c r="J292" s="231">
        <v>3245</v>
      </c>
      <c r="K292" s="231">
        <v>3786</v>
      </c>
      <c r="L292" s="231">
        <v>3047</v>
      </c>
      <c r="M292" s="231">
        <v>3248</v>
      </c>
      <c r="N292" s="231">
        <v>3388</v>
      </c>
      <c r="O292" s="231">
        <v>2935</v>
      </c>
      <c r="P292" s="239">
        <f t="shared" si="107"/>
        <v>37373</v>
      </c>
    </row>
    <row r="293" spans="2:16" s="14" customFormat="1" ht="15" customHeight="1">
      <c r="B293" s="751"/>
      <c r="C293" s="229" t="s">
        <v>83</v>
      </c>
      <c r="D293" s="230">
        <v>5906</v>
      </c>
      <c r="E293" s="231">
        <v>5853</v>
      </c>
      <c r="F293" s="230">
        <v>6965</v>
      </c>
      <c r="G293" s="231">
        <v>5237</v>
      </c>
      <c r="H293" s="231">
        <v>5559</v>
      </c>
      <c r="I293" s="231">
        <v>6318</v>
      </c>
      <c r="J293" s="231">
        <v>6056</v>
      </c>
      <c r="K293" s="231">
        <v>4759</v>
      </c>
      <c r="L293" s="231">
        <v>3943</v>
      </c>
      <c r="M293" s="231">
        <v>5346</v>
      </c>
      <c r="N293" s="231">
        <v>6113</v>
      </c>
      <c r="O293" s="231">
        <v>5145</v>
      </c>
      <c r="P293" s="232">
        <f t="shared" si="107"/>
        <v>67200</v>
      </c>
    </row>
    <row r="294" spans="2:16" s="14" customFormat="1" ht="15" customHeight="1">
      <c r="B294" s="751"/>
      <c r="C294" s="233" t="s">
        <v>35</v>
      </c>
      <c r="D294" s="234">
        <v>883</v>
      </c>
      <c r="E294" s="235">
        <v>1035</v>
      </c>
      <c r="F294" s="230">
        <v>957</v>
      </c>
      <c r="G294" s="235">
        <v>739</v>
      </c>
      <c r="H294" s="235">
        <v>637</v>
      </c>
      <c r="I294" s="235">
        <v>673</v>
      </c>
      <c r="J294" s="235">
        <v>544</v>
      </c>
      <c r="K294" s="235">
        <v>414</v>
      </c>
      <c r="L294" s="235">
        <v>154</v>
      </c>
      <c r="M294" s="235">
        <v>467</v>
      </c>
      <c r="N294" s="235">
        <v>717</v>
      </c>
      <c r="O294" s="235">
        <v>617</v>
      </c>
      <c r="P294" s="232">
        <f t="shared" si="107"/>
        <v>7837</v>
      </c>
    </row>
    <row r="295" spans="2:16" s="14" customFormat="1" ht="15" customHeight="1" thickBot="1">
      <c r="B295" s="752"/>
      <c r="C295" s="236" t="s">
        <v>6</v>
      </c>
      <c r="D295" s="237">
        <f t="shared" ref="D295:P295" si="108">SUM(D286:D294)</f>
        <v>18595</v>
      </c>
      <c r="E295" s="237">
        <f t="shared" si="108"/>
        <v>16234</v>
      </c>
      <c r="F295" s="240">
        <f t="shared" si="108"/>
        <v>20868</v>
      </c>
      <c r="G295" s="237">
        <f t="shared" si="108"/>
        <v>20936</v>
      </c>
      <c r="H295" s="237">
        <f t="shared" si="108"/>
        <v>20180</v>
      </c>
      <c r="I295" s="237">
        <f t="shared" si="108"/>
        <v>20692</v>
      </c>
      <c r="J295" s="237">
        <f t="shared" si="108"/>
        <v>21078</v>
      </c>
      <c r="K295" s="237">
        <f t="shared" si="108"/>
        <v>20336</v>
      </c>
      <c r="L295" s="237">
        <f t="shared" si="108"/>
        <v>16194</v>
      </c>
      <c r="M295" s="237">
        <f t="shared" si="108"/>
        <v>19070</v>
      </c>
      <c r="N295" s="237">
        <f t="shared" si="108"/>
        <v>20475</v>
      </c>
      <c r="O295" s="237">
        <f t="shared" si="108"/>
        <v>17348</v>
      </c>
      <c r="P295" s="238">
        <f t="shared" si="108"/>
        <v>232006</v>
      </c>
    </row>
    <row r="296" spans="2:16" s="14" customFormat="1" ht="15" customHeight="1">
      <c r="B296" s="741" t="s">
        <v>36</v>
      </c>
      <c r="C296" s="241" t="s">
        <v>37</v>
      </c>
      <c r="D296" s="242">
        <v>4832</v>
      </c>
      <c r="E296" s="243">
        <v>4411</v>
      </c>
      <c r="F296" s="244">
        <v>5443</v>
      </c>
      <c r="G296" s="243">
        <v>5300</v>
      </c>
      <c r="H296" s="243">
        <v>5456</v>
      </c>
      <c r="I296" s="243">
        <v>4880</v>
      </c>
      <c r="J296" s="243">
        <v>5188</v>
      </c>
      <c r="K296" s="243">
        <v>4700</v>
      </c>
      <c r="L296" s="243">
        <v>4049</v>
      </c>
      <c r="M296" s="243">
        <v>5354</v>
      </c>
      <c r="N296" s="243">
        <v>5339</v>
      </c>
      <c r="O296" s="243">
        <v>4302</v>
      </c>
      <c r="P296" s="245">
        <f>SUM(D296:O296)</f>
        <v>59254</v>
      </c>
    </row>
    <row r="297" spans="2:16" s="14" customFormat="1" ht="15" customHeight="1">
      <c r="B297" s="742"/>
      <c r="C297" s="246" t="s">
        <v>38</v>
      </c>
      <c r="D297" s="247">
        <v>111</v>
      </c>
      <c r="E297" s="248">
        <v>85</v>
      </c>
      <c r="F297" s="230">
        <v>119</v>
      </c>
      <c r="G297" s="248">
        <v>122</v>
      </c>
      <c r="H297" s="248">
        <v>107</v>
      </c>
      <c r="I297" s="248">
        <v>80</v>
      </c>
      <c r="J297" s="248">
        <v>143</v>
      </c>
      <c r="K297" s="248">
        <v>103</v>
      </c>
      <c r="L297" s="248">
        <v>88</v>
      </c>
      <c r="M297" s="248">
        <v>117</v>
      </c>
      <c r="N297" s="248">
        <v>135</v>
      </c>
      <c r="O297" s="248">
        <v>119</v>
      </c>
      <c r="P297" s="249">
        <f>SUM(D297:O297)</f>
        <v>1329</v>
      </c>
    </row>
    <row r="298" spans="2:16" s="14" customFormat="1" ht="15" customHeight="1">
      <c r="B298" s="742"/>
      <c r="C298" s="246" t="s">
        <v>39</v>
      </c>
      <c r="D298" s="247">
        <v>54</v>
      </c>
      <c r="E298" s="248">
        <v>1</v>
      </c>
      <c r="F298" s="230">
        <v>92</v>
      </c>
      <c r="G298" s="248">
        <v>3</v>
      </c>
      <c r="H298" s="248">
        <v>99</v>
      </c>
      <c r="I298" s="248">
        <v>295</v>
      </c>
      <c r="J298" s="248">
        <v>73</v>
      </c>
      <c r="K298" s="248">
        <v>149</v>
      </c>
      <c r="L298" s="248">
        <v>50</v>
      </c>
      <c r="M298" s="248">
        <v>151</v>
      </c>
      <c r="N298" s="248">
        <v>205</v>
      </c>
      <c r="O298" s="248">
        <v>338</v>
      </c>
      <c r="P298" s="249">
        <f>SUM(D298:O298)</f>
        <v>1510</v>
      </c>
    </row>
    <row r="299" spans="2:16" s="14" customFormat="1" ht="15" customHeight="1" thickBot="1">
      <c r="B299" s="743"/>
      <c r="C299" s="250" t="s">
        <v>6</v>
      </c>
      <c r="D299" s="251">
        <f t="shared" ref="D299:P299" si="109">SUM(D296:D298)</f>
        <v>4997</v>
      </c>
      <c r="E299" s="251">
        <f t="shared" si="109"/>
        <v>4497</v>
      </c>
      <c r="F299" s="251">
        <f t="shared" si="109"/>
        <v>5654</v>
      </c>
      <c r="G299" s="251">
        <f t="shared" si="109"/>
        <v>5425</v>
      </c>
      <c r="H299" s="251">
        <f t="shared" si="109"/>
        <v>5662</v>
      </c>
      <c r="I299" s="251">
        <f t="shared" si="109"/>
        <v>5255</v>
      </c>
      <c r="J299" s="251">
        <f t="shared" si="109"/>
        <v>5404</v>
      </c>
      <c r="K299" s="251">
        <f t="shared" si="109"/>
        <v>4952</v>
      </c>
      <c r="L299" s="251">
        <f t="shared" si="109"/>
        <v>4187</v>
      </c>
      <c r="M299" s="251">
        <f t="shared" si="109"/>
        <v>5622</v>
      </c>
      <c r="N299" s="251">
        <f t="shared" si="109"/>
        <v>5679</v>
      </c>
      <c r="O299" s="251">
        <f t="shared" si="109"/>
        <v>4759</v>
      </c>
      <c r="P299" s="252">
        <f t="shared" si="109"/>
        <v>62093</v>
      </c>
    </row>
    <row r="300" spans="2:16" s="14" customFormat="1" ht="15" customHeight="1" thickBot="1">
      <c r="B300" s="733" t="s">
        <v>40</v>
      </c>
      <c r="C300" s="734"/>
      <c r="D300" s="253">
        <f t="shared" ref="D300:P300" si="110">D285+D295+D299</f>
        <v>39105</v>
      </c>
      <c r="E300" s="253">
        <f t="shared" si="110"/>
        <v>37005</v>
      </c>
      <c r="F300" s="253">
        <f t="shared" si="110"/>
        <v>48540</v>
      </c>
      <c r="G300" s="253">
        <f t="shared" si="110"/>
        <v>50004</v>
      </c>
      <c r="H300" s="253">
        <f t="shared" si="110"/>
        <v>47046</v>
      </c>
      <c r="I300" s="253">
        <f t="shared" si="110"/>
        <v>46000</v>
      </c>
      <c r="J300" s="253">
        <f t="shared" si="110"/>
        <v>47000</v>
      </c>
      <c r="K300" s="253">
        <f t="shared" si="110"/>
        <v>44200</v>
      </c>
      <c r="L300" s="253">
        <f t="shared" si="110"/>
        <v>35800</v>
      </c>
      <c r="M300" s="253">
        <f t="shared" si="110"/>
        <v>46100</v>
      </c>
      <c r="N300" s="253">
        <f t="shared" si="110"/>
        <v>48700</v>
      </c>
      <c r="O300" s="253">
        <f t="shared" si="110"/>
        <v>42200</v>
      </c>
      <c r="P300" s="254">
        <f t="shared" si="110"/>
        <v>531700</v>
      </c>
    </row>
    <row r="301" spans="2:16" s="14" customFormat="1" ht="15" customHeight="1">
      <c r="B301" s="176"/>
      <c r="C301" s="176"/>
      <c r="D301" s="75"/>
      <c r="E301" s="75"/>
      <c r="F301" s="75"/>
      <c r="G301" s="75"/>
      <c r="H301" s="75"/>
      <c r="I301" s="75"/>
      <c r="J301" s="75"/>
      <c r="K301" s="75"/>
      <c r="L301" s="75"/>
      <c r="M301" s="177"/>
      <c r="N301" s="177"/>
      <c r="O301" s="177"/>
      <c r="P301" s="75"/>
    </row>
    <row r="302" spans="2:16" s="14" customFormat="1" ht="15" customHeight="1">
      <c r="B302" s="178" t="s">
        <v>48</v>
      </c>
      <c r="C302" s="179"/>
      <c r="D302" s="180">
        <f t="shared" ref="D302:O302" si="111">D280</f>
        <v>1596</v>
      </c>
      <c r="E302" s="180">
        <f t="shared" si="111"/>
        <v>1975</v>
      </c>
      <c r="F302" s="180">
        <f t="shared" si="111"/>
        <v>5085</v>
      </c>
      <c r="G302" s="180">
        <f t="shared" si="111"/>
        <v>6925</v>
      </c>
      <c r="H302" s="180">
        <f t="shared" si="111"/>
        <v>5024</v>
      </c>
      <c r="I302" s="180">
        <f t="shared" si="111"/>
        <v>4074</v>
      </c>
      <c r="J302" s="180">
        <f t="shared" si="111"/>
        <v>3583</v>
      </c>
      <c r="K302" s="180">
        <f t="shared" si="111"/>
        <v>2668</v>
      </c>
      <c r="L302" s="180">
        <f t="shared" si="111"/>
        <v>2382</v>
      </c>
      <c r="M302" s="180">
        <f t="shared" si="111"/>
        <v>4114</v>
      </c>
      <c r="N302" s="180">
        <f t="shared" si="111"/>
        <v>3891</v>
      </c>
      <c r="O302" s="180">
        <f t="shared" si="111"/>
        <v>3197</v>
      </c>
      <c r="P302" s="180">
        <f>SUM(D302:O302)</f>
        <v>44514</v>
      </c>
    </row>
    <row r="303" spans="2:16" s="14" customFormat="1" ht="15" customHeight="1">
      <c r="B303" s="181"/>
      <c r="C303" s="182" t="s">
        <v>112</v>
      </c>
      <c r="D303" s="183">
        <v>1596</v>
      </c>
      <c r="E303" s="183">
        <v>1676</v>
      </c>
      <c r="F303" s="183">
        <v>1615</v>
      </c>
      <c r="G303" s="183">
        <v>1273</v>
      </c>
      <c r="H303" s="183">
        <v>6</v>
      </c>
      <c r="I303" s="183">
        <v>0</v>
      </c>
      <c r="J303" s="183">
        <v>0</v>
      </c>
      <c r="K303" s="183">
        <v>0</v>
      </c>
      <c r="L303" s="183">
        <v>-2</v>
      </c>
      <c r="M303" s="183">
        <v>0</v>
      </c>
      <c r="N303" s="183">
        <v>0</v>
      </c>
      <c r="O303" s="183">
        <v>2</v>
      </c>
      <c r="P303" s="184">
        <f>SUM(D303:O303)</f>
        <v>6166</v>
      </c>
    </row>
    <row r="304" spans="2:16" s="14" customFormat="1" ht="15" customHeight="1">
      <c r="B304" s="186"/>
      <c r="C304" s="182" t="s">
        <v>113</v>
      </c>
      <c r="D304" s="183">
        <v>0</v>
      </c>
      <c r="E304" s="183">
        <v>299</v>
      </c>
      <c r="F304" s="183">
        <v>3470</v>
      </c>
      <c r="G304" s="183">
        <v>5652</v>
      </c>
      <c r="H304" s="183">
        <v>5018</v>
      </c>
      <c r="I304" s="183">
        <v>4074</v>
      </c>
      <c r="J304" s="183">
        <v>3583</v>
      </c>
      <c r="K304" s="183">
        <v>2668</v>
      </c>
      <c r="L304" s="183">
        <v>2384</v>
      </c>
      <c r="M304" s="183">
        <v>4114</v>
      </c>
      <c r="N304" s="183">
        <v>3891</v>
      </c>
      <c r="O304" s="183">
        <v>3195</v>
      </c>
      <c r="P304" s="184">
        <f>SUM(D304:O304)</f>
        <v>38348</v>
      </c>
    </row>
    <row r="305" spans="2:16" s="14" customFormat="1" ht="15" customHeight="1">
      <c r="B305" s="176"/>
      <c r="C305" s="176"/>
      <c r="D305" s="75"/>
      <c r="E305" s="75"/>
      <c r="F305" s="75"/>
      <c r="G305" s="75"/>
      <c r="H305" s="75"/>
      <c r="I305" s="75"/>
      <c r="J305" s="75"/>
      <c r="K305" s="75"/>
      <c r="L305" s="75"/>
      <c r="M305" s="177"/>
      <c r="N305" s="177"/>
      <c r="O305" s="177"/>
      <c r="P305" s="75"/>
    </row>
    <row r="306" spans="2:16" s="14" customFormat="1" ht="15" customHeight="1">
      <c r="B306" s="178" t="s">
        <v>26</v>
      </c>
      <c r="C306" s="179"/>
      <c r="D306" s="180">
        <f t="shared" ref="D306:P306" si="112">D281</f>
        <v>2826</v>
      </c>
      <c r="E306" s="180">
        <f t="shared" si="112"/>
        <v>3840</v>
      </c>
      <c r="F306" s="180">
        <f t="shared" si="112"/>
        <v>5043</v>
      </c>
      <c r="G306" s="180">
        <f t="shared" si="112"/>
        <v>4119</v>
      </c>
      <c r="H306" s="180">
        <f t="shared" si="112"/>
        <v>3613</v>
      </c>
      <c r="I306" s="180">
        <f t="shared" si="112"/>
        <v>3723</v>
      </c>
      <c r="J306" s="180">
        <f t="shared" si="112"/>
        <v>4145</v>
      </c>
      <c r="K306" s="180">
        <f t="shared" si="112"/>
        <v>3865</v>
      </c>
      <c r="L306" s="180">
        <f t="shared" si="112"/>
        <v>3310</v>
      </c>
      <c r="M306" s="180">
        <f t="shared" si="112"/>
        <v>4250</v>
      </c>
      <c r="N306" s="180">
        <f t="shared" si="112"/>
        <v>4951</v>
      </c>
      <c r="O306" s="180">
        <f t="shared" si="112"/>
        <v>4818</v>
      </c>
      <c r="P306" s="180">
        <f t="shared" si="112"/>
        <v>48503</v>
      </c>
    </row>
    <row r="307" spans="2:16" s="14" customFormat="1" ht="15" customHeight="1">
      <c r="B307" s="181"/>
      <c r="C307" s="182" t="s">
        <v>71</v>
      </c>
      <c r="D307" s="183">
        <f t="shared" ref="D307:O307" si="113">D306-D308</f>
        <v>2659</v>
      </c>
      <c r="E307" s="183">
        <f t="shared" si="113"/>
        <v>3664</v>
      </c>
      <c r="F307" s="183">
        <f t="shared" si="113"/>
        <v>4838</v>
      </c>
      <c r="G307" s="183">
        <f t="shared" si="113"/>
        <v>3893</v>
      </c>
      <c r="H307" s="183">
        <f t="shared" si="113"/>
        <v>3345</v>
      </c>
      <c r="I307" s="183">
        <f t="shared" si="113"/>
        <v>3443</v>
      </c>
      <c r="J307" s="183">
        <f t="shared" si="113"/>
        <v>3884</v>
      </c>
      <c r="K307" s="183">
        <f t="shared" si="113"/>
        <v>3571</v>
      </c>
      <c r="L307" s="183">
        <f t="shared" si="113"/>
        <v>3060</v>
      </c>
      <c r="M307" s="183">
        <f t="shared" si="113"/>
        <v>3902</v>
      </c>
      <c r="N307" s="183">
        <f t="shared" si="113"/>
        <v>4529</v>
      </c>
      <c r="O307" s="183">
        <f t="shared" si="113"/>
        <v>4417</v>
      </c>
      <c r="P307" s="184">
        <f>SUM(D307:O307)</f>
        <v>45205</v>
      </c>
    </row>
    <row r="308" spans="2:16" s="14" customFormat="1" ht="15" customHeight="1">
      <c r="B308" s="186"/>
      <c r="C308" s="182" t="s">
        <v>90</v>
      </c>
      <c r="D308" s="183">
        <v>167</v>
      </c>
      <c r="E308" s="183">
        <v>176</v>
      </c>
      <c r="F308" s="183">
        <v>205</v>
      </c>
      <c r="G308" s="183">
        <v>226</v>
      </c>
      <c r="H308" s="183">
        <v>268</v>
      </c>
      <c r="I308" s="183">
        <v>280</v>
      </c>
      <c r="J308" s="183">
        <v>261</v>
      </c>
      <c r="K308" s="183">
        <v>294</v>
      </c>
      <c r="L308" s="183">
        <v>250</v>
      </c>
      <c r="M308" s="183">
        <v>348</v>
      </c>
      <c r="N308" s="183">
        <v>422</v>
      </c>
      <c r="O308" s="183">
        <v>401</v>
      </c>
      <c r="P308" s="184">
        <f>SUM(D308:O308)</f>
        <v>3298</v>
      </c>
    </row>
    <row r="309" spans="2:16" s="14" customFormat="1" ht="15" customHeight="1">
      <c r="B309" s="187"/>
      <c r="C309" s="188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90"/>
    </row>
    <row r="310" spans="2:16" s="14" customFormat="1" ht="15" customHeight="1">
      <c r="B310" s="178" t="s">
        <v>27</v>
      </c>
      <c r="C310" s="179"/>
      <c r="D310" s="180">
        <f t="shared" ref="D310:P310" si="114">D282</f>
        <v>3348</v>
      </c>
      <c r="E310" s="180">
        <f t="shared" si="114"/>
        <v>3015</v>
      </c>
      <c r="F310" s="180">
        <f t="shared" si="114"/>
        <v>3309</v>
      </c>
      <c r="G310" s="180">
        <f t="shared" si="114"/>
        <v>3002</v>
      </c>
      <c r="H310" s="180">
        <f t="shared" si="114"/>
        <v>2890</v>
      </c>
      <c r="I310" s="180">
        <f t="shared" si="114"/>
        <v>3135</v>
      </c>
      <c r="J310" s="180">
        <f t="shared" si="114"/>
        <v>3281</v>
      </c>
      <c r="K310" s="180">
        <f t="shared" si="114"/>
        <v>3305</v>
      </c>
      <c r="L310" s="180">
        <f t="shared" si="114"/>
        <v>2996</v>
      </c>
      <c r="M310" s="180">
        <f t="shared" si="114"/>
        <v>3784</v>
      </c>
      <c r="N310" s="180">
        <f t="shared" si="114"/>
        <v>4741</v>
      </c>
      <c r="O310" s="180">
        <f t="shared" si="114"/>
        <v>4172</v>
      </c>
      <c r="P310" s="180">
        <f t="shared" si="114"/>
        <v>40978</v>
      </c>
    </row>
    <row r="311" spans="2:16" s="14" customFormat="1" ht="15" customHeight="1">
      <c r="B311" s="181"/>
      <c r="C311" s="182" t="s">
        <v>85</v>
      </c>
      <c r="D311" s="191">
        <f t="shared" ref="D311:O311" si="115">D310-D312</f>
        <v>2875</v>
      </c>
      <c r="E311" s="191">
        <f t="shared" si="115"/>
        <v>2611</v>
      </c>
      <c r="F311" s="191">
        <f t="shared" si="115"/>
        <v>2806</v>
      </c>
      <c r="G311" s="191">
        <f t="shared" si="115"/>
        <v>2602</v>
      </c>
      <c r="H311" s="191">
        <f t="shared" si="115"/>
        <v>2431</v>
      </c>
      <c r="I311" s="191">
        <f t="shared" si="115"/>
        <v>2608</v>
      </c>
      <c r="J311" s="191">
        <f t="shared" si="115"/>
        <v>2738</v>
      </c>
      <c r="K311" s="191">
        <f t="shared" si="115"/>
        <v>2543</v>
      </c>
      <c r="L311" s="191">
        <f t="shared" si="115"/>
        <v>2457</v>
      </c>
      <c r="M311" s="191">
        <f t="shared" si="115"/>
        <v>2916</v>
      </c>
      <c r="N311" s="191">
        <f t="shared" si="115"/>
        <v>3741</v>
      </c>
      <c r="O311" s="191">
        <f t="shared" si="115"/>
        <v>3345</v>
      </c>
      <c r="P311" s="184">
        <f>SUM(D311:O311)</f>
        <v>33673</v>
      </c>
    </row>
    <row r="312" spans="2:16" s="14" customFormat="1" ht="15" customHeight="1">
      <c r="B312" s="186"/>
      <c r="C312" s="182" t="s">
        <v>96</v>
      </c>
      <c r="D312" s="183">
        <v>473</v>
      </c>
      <c r="E312" s="183">
        <v>404</v>
      </c>
      <c r="F312" s="183">
        <v>503</v>
      </c>
      <c r="G312" s="183">
        <v>400</v>
      </c>
      <c r="H312" s="183">
        <v>459</v>
      </c>
      <c r="I312" s="183">
        <v>527</v>
      </c>
      <c r="J312" s="183">
        <v>543</v>
      </c>
      <c r="K312" s="183">
        <v>762</v>
      </c>
      <c r="L312" s="183">
        <v>539</v>
      </c>
      <c r="M312" s="183">
        <v>868</v>
      </c>
      <c r="N312" s="183">
        <v>1000</v>
      </c>
      <c r="O312" s="183">
        <v>827</v>
      </c>
      <c r="P312" s="184">
        <f>SUM(D312:O312)</f>
        <v>7305</v>
      </c>
    </row>
    <row r="313" spans="2:16" s="14" customFormat="1" ht="15" customHeight="1">
      <c r="B313" s="187"/>
      <c r="C313" s="188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90"/>
    </row>
    <row r="314" spans="2:16" s="14" customFormat="1" ht="15" customHeight="1">
      <c r="B314" s="178" t="s">
        <v>109</v>
      </c>
      <c r="C314" s="179"/>
      <c r="D314" s="180">
        <f t="shared" ref="D314:P314" si="116">D284</f>
        <v>127</v>
      </c>
      <c r="E314" s="180">
        <f t="shared" si="116"/>
        <v>39</v>
      </c>
      <c r="F314" s="180">
        <f t="shared" si="116"/>
        <v>47</v>
      </c>
      <c r="G314" s="180">
        <f t="shared" si="116"/>
        <v>1222</v>
      </c>
      <c r="H314" s="180">
        <f t="shared" si="116"/>
        <v>1705</v>
      </c>
      <c r="I314" s="180">
        <f t="shared" si="116"/>
        <v>1661</v>
      </c>
      <c r="J314" s="180">
        <f t="shared" si="116"/>
        <v>1455</v>
      </c>
      <c r="K314" s="180">
        <f t="shared" si="116"/>
        <v>1204</v>
      </c>
      <c r="L314" s="180">
        <f t="shared" si="116"/>
        <v>1008</v>
      </c>
      <c r="M314" s="180">
        <f t="shared" si="116"/>
        <v>1220</v>
      </c>
      <c r="N314" s="180">
        <f t="shared" si="116"/>
        <v>1073</v>
      </c>
      <c r="O314" s="180">
        <f t="shared" si="116"/>
        <v>1082</v>
      </c>
      <c r="P314" s="180">
        <f t="shared" si="116"/>
        <v>11843</v>
      </c>
    </row>
    <row r="315" spans="2:16" s="14" customFormat="1" ht="15" customHeight="1">
      <c r="B315" s="181"/>
      <c r="C315" s="182" t="s">
        <v>111</v>
      </c>
      <c r="D315" s="191">
        <v>127</v>
      </c>
      <c r="E315" s="191">
        <v>39</v>
      </c>
      <c r="F315" s="191">
        <v>47</v>
      </c>
      <c r="G315" s="191">
        <v>19</v>
      </c>
      <c r="H315" s="191">
        <v>21</v>
      </c>
      <c r="I315" s="191">
        <v>0</v>
      </c>
      <c r="J315" s="191">
        <f>J314-J316</f>
        <v>0</v>
      </c>
      <c r="K315" s="191">
        <v>0</v>
      </c>
      <c r="L315" s="191">
        <f>L314-L316</f>
        <v>0</v>
      </c>
      <c r="M315" s="191">
        <f>M314-M316</f>
        <v>0</v>
      </c>
      <c r="N315" s="191">
        <f>N314-N316</f>
        <v>0</v>
      </c>
      <c r="O315" s="191">
        <f>O314-O316</f>
        <v>0</v>
      </c>
      <c r="P315" s="184">
        <f>SUM(D315:O315)</f>
        <v>253</v>
      </c>
    </row>
    <row r="316" spans="2:16" s="14" customFormat="1" ht="15" customHeight="1">
      <c r="B316" s="186"/>
      <c r="C316" s="182" t="s">
        <v>110</v>
      </c>
      <c r="D316" s="183">
        <v>0</v>
      </c>
      <c r="E316" s="183">
        <v>0</v>
      </c>
      <c r="F316" s="183">
        <v>0</v>
      </c>
      <c r="G316" s="183">
        <v>1203</v>
      </c>
      <c r="H316" s="183">
        <v>1684</v>
      </c>
      <c r="I316" s="183">
        <f>I314-I315</f>
        <v>1661</v>
      </c>
      <c r="J316" s="183">
        <v>1455</v>
      </c>
      <c r="K316" s="191">
        <v>1204</v>
      </c>
      <c r="L316" s="183">
        <v>1008</v>
      </c>
      <c r="M316" s="183">
        <v>1220</v>
      </c>
      <c r="N316" s="183">
        <v>1073</v>
      </c>
      <c r="O316" s="183">
        <v>1082</v>
      </c>
      <c r="P316" s="184">
        <f>SUM(D316:O316)</f>
        <v>11590</v>
      </c>
    </row>
    <row r="317" spans="2:16" s="14" customFormat="1" ht="15" customHeight="1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2:16" s="14" customFormat="1" ht="15" customHeight="1">
      <c r="B318" s="178" t="s">
        <v>116</v>
      </c>
      <c r="C318" s="179"/>
      <c r="D318" s="180">
        <f t="shared" ref="D318:J318" si="117">SUM(D319:D320)</f>
        <v>1516</v>
      </c>
      <c r="E318" s="180">
        <f t="shared" si="117"/>
        <v>1658</v>
      </c>
      <c r="F318" s="180">
        <f t="shared" si="117"/>
        <v>1982</v>
      </c>
      <c r="G318" s="180">
        <f t="shared" si="117"/>
        <v>1403</v>
      </c>
      <c r="H318" s="180">
        <f t="shared" si="117"/>
        <v>1687</v>
      </c>
      <c r="I318" s="180">
        <f t="shared" si="117"/>
        <v>1536</v>
      </c>
      <c r="J318" s="180">
        <f t="shared" si="117"/>
        <v>1908</v>
      </c>
      <c r="K318" s="180">
        <f>K291</f>
        <v>2723</v>
      </c>
      <c r="L318" s="180">
        <f>L291</f>
        <v>1999</v>
      </c>
      <c r="M318" s="180">
        <f>M291</f>
        <v>2099</v>
      </c>
      <c r="N318" s="180">
        <f>N291</f>
        <v>2280</v>
      </c>
      <c r="O318" s="180">
        <f>O291</f>
        <v>2020</v>
      </c>
      <c r="P318" s="180">
        <f>SUM(D318:O318)</f>
        <v>22811</v>
      </c>
    </row>
    <row r="319" spans="2:16" s="14" customFormat="1" ht="15" customHeight="1">
      <c r="B319" s="181"/>
      <c r="C319" s="182" t="s">
        <v>117</v>
      </c>
      <c r="D319" s="183">
        <f t="shared" ref="D319:I319" si="118">D291</f>
        <v>1516</v>
      </c>
      <c r="E319" s="183">
        <f t="shared" si="118"/>
        <v>1658</v>
      </c>
      <c r="F319" s="183">
        <f t="shared" si="118"/>
        <v>1982</v>
      </c>
      <c r="G319" s="183">
        <f t="shared" si="118"/>
        <v>1403</v>
      </c>
      <c r="H319" s="183">
        <f t="shared" si="118"/>
        <v>1687</v>
      </c>
      <c r="I319" s="183">
        <f t="shared" si="118"/>
        <v>1536</v>
      </c>
      <c r="J319" s="183">
        <f>J291-J320</f>
        <v>1818</v>
      </c>
      <c r="K319" s="183">
        <v>1747</v>
      </c>
      <c r="L319" s="183">
        <f>L318-L320</f>
        <v>933</v>
      </c>
      <c r="M319" s="183">
        <f>M318-M320</f>
        <v>1303</v>
      </c>
      <c r="N319" s="183">
        <f>N318-N320</f>
        <v>1781</v>
      </c>
      <c r="O319" s="183">
        <f>O318-O320</f>
        <v>2014</v>
      </c>
      <c r="P319" s="184">
        <f>SUM(D319:O319)</f>
        <v>19378</v>
      </c>
    </row>
    <row r="320" spans="2:16" s="14" customFormat="1" ht="15" customHeight="1">
      <c r="B320" s="186"/>
      <c r="C320" s="182" t="s">
        <v>118</v>
      </c>
      <c r="D320" s="183">
        <v>0</v>
      </c>
      <c r="E320" s="183">
        <v>0</v>
      </c>
      <c r="F320" s="183">
        <v>0</v>
      </c>
      <c r="G320" s="183">
        <v>0</v>
      </c>
      <c r="H320" s="183">
        <v>0</v>
      </c>
      <c r="I320" s="183">
        <v>0</v>
      </c>
      <c r="J320" s="183">
        <v>90</v>
      </c>
      <c r="K320" s="183">
        <v>976</v>
      </c>
      <c r="L320" s="183">
        <v>1066</v>
      </c>
      <c r="M320" s="183">
        <v>796</v>
      </c>
      <c r="N320" s="183">
        <v>499</v>
      </c>
      <c r="O320" s="183">
        <v>6</v>
      </c>
      <c r="P320" s="184">
        <f>SUM(D320:O320)</f>
        <v>3433</v>
      </c>
    </row>
    <row r="321" spans="2:16" s="14" customFormat="1" ht="15" customHeight="1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2:16" s="14" customFormat="1" ht="15" customHeight="1">
      <c r="B322" s="178" t="s">
        <v>119</v>
      </c>
      <c r="C322" s="179"/>
      <c r="D322" s="180">
        <v>96</v>
      </c>
      <c r="E322" s="180">
        <v>134</v>
      </c>
      <c r="F322" s="180">
        <v>297</v>
      </c>
      <c r="G322" s="180">
        <v>305</v>
      </c>
      <c r="H322" s="180">
        <v>236</v>
      </c>
      <c r="I322" s="180">
        <v>445</v>
      </c>
      <c r="J322" s="180">
        <v>357</v>
      </c>
      <c r="K322" s="180">
        <f>K288</f>
        <v>328</v>
      </c>
      <c r="L322" s="180">
        <f>L288</f>
        <v>117</v>
      </c>
      <c r="M322" s="180">
        <f>M288</f>
        <v>38</v>
      </c>
      <c r="N322" s="180">
        <f>N288</f>
        <v>29</v>
      </c>
      <c r="O322" s="180">
        <f>O288</f>
        <v>24</v>
      </c>
      <c r="P322" s="180">
        <f>P323+P324</f>
        <v>2406</v>
      </c>
    </row>
    <row r="323" spans="2:16" s="14" customFormat="1" ht="15" customHeight="1">
      <c r="B323" s="181"/>
      <c r="C323" s="182" t="s">
        <v>120</v>
      </c>
      <c r="D323" s="183">
        <f t="shared" ref="D323:J323" si="119">D322-D324</f>
        <v>89</v>
      </c>
      <c r="E323" s="183">
        <f t="shared" si="119"/>
        <v>37</v>
      </c>
      <c r="F323" s="183">
        <f t="shared" si="119"/>
        <v>82</v>
      </c>
      <c r="G323" s="183">
        <f t="shared" si="119"/>
        <v>87</v>
      </c>
      <c r="H323" s="183">
        <f t="shared" si="119"/>
        <v>33</v>
      </c>
      <c r="I323" s="183">
        <f t="shared" si="119"/>
        <v>46</v>
      </c>
      <c r="J323" s="183">
        <f t="shared" si="119"/>
        <v>59</v>
      </c>
      <c r="K323" s="183">
        <v>79</v>
      </c>
      <c r="L323" s="183">
        <f>L322-L324</f>
        <v>58</v>
      </c>
      <c r="M323" s="183">
        <f>M322-M324</f>
        <v>37</v>
      </c>
      <c r="N323" s="183">
        <f>N322-N324</f>
        <v>29</v>
      </c>
      <c r="O323" s="183">
        <f>O322-O324</f>
        <v>24</v>
      </c>
      <c r="P323" s="184">
        <f>SUM(D323:O323)</f>
        <v>660</v>
      </c>
    </row>
    <row r="324" spans="2:16" s="14" customFormat="1" ht="15" customHeight="1">
      <c r="B324" s="186"/>
      <c r="C324" s="182" t="s">
        <v>121</v>
      </c>
      <c r="D324" s="183">
        <v>7</v>
      </c>
      <c r="E324" s="183">
        <v>97</v>
      </c>
      <c r="F324" s="183">
        <v>215</v>
      </c>
      <c r="G324" s="183">
        <v>218</v>
      </c>
      <c r="H324" s="183">
        <v>203</v>
      </c>
      <c r="I324" s="183">
        <v>399</v>
      </c>
      <c r="J324" s="183">
        <v>298</v>
      </c>
      <c r="K324" s="183">
        <v>249</v>
      </c>
      <c r="L324" s="183">
        <v>59</v>
      </c>
      <c r="M324" s="183">
        <v>1</v>
      </c>
      <c r="N324" s="183">
        <v>0</v>
      </c>
      <c r="O324" s="183">
        <v>0</v>
      </c>
      <c r="P324" s="184">
        <f>SUM(D324:O324)</f>
        <v>1746</v>
      </c>
    </row>
    <row r="325" spans="2:16" s="14" customFormat="1" ht="15" customHeight="1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2:16" s="14" customFormat="1" ht="15" customHeight="1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2:16" s="14" customFormat="1" ht="15" customHeight="1" thickBot="1">
      <c r="B327" s="146" t="s">
        <v>98</v>
      </c>
      <c r="C327" s="146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8"/>
    </row>
    <row r="328" spans="2:16" s="14" customFormat="1" ht="15" customHeight="1" thickBot="1">
      <c r="B328" s="224"/>
      <c r="C328" s="225" t="s">
        <v>88</v>
      </c>
      <c r="D328" s="226">
        <v>1</v>
      </c>
      <c r="E328" s="227">
        <v>2</v>
      </c>
      <c r="F328" s="227">
        <v>3</v>
      </c>
      <c r="G328" s="227">
        <v>4</v>
      </c>
      <c r="H328" s="227">
        <v>5</v>
      </c>
      <c r="I328" s="227">
        <v>6</v>
      </c>
      <c r="J328" s="227">
        <v>7</v>
      </c>
      <c r="K328" s="227">
        <v>8</v>
      </c>
      <c r="L328" s="227">
        <v>9</v>
      </c>
      <c r="M328" s="227">
        <v>10</v>
      </c>
      <c r="N328" s="227">
        <v>11</v>
      </c>
      <c r="O328" s="227">
        <v>12</v>
      </c>
      <c r="P328" s="228" t="s">
        <v>6</v>
      </c>
    </row>
    <row r="329" spans="2:16" s="14" customFormat="1" ht="15" customHeight="1">
      <c r="B329" s="741"/>
      <c r="C329" s="229" t="s">
        <v>22</v>
      </c>
      <c r="D329" s="230">
        <f>2999+2524</f>
        <v>5523</v>
      </c>
      <c r="E329" s="231">
        <v>6156</v>
      </c>
      <c r="F329" s="230">
        <v>6343</v>
      </c>
      <c r="G329" s="231">
        <v>5456</v>
      </c>
      <c r="H329" s="231">
        <v>6436</v>
      </c>
      <c r="I329" s="231">
        <f>1+6723</f>
        <v>6724</v>
      </c>
      <c r="J329" s="231">
        <v>5367</v>
      </c>
      <c r="K329" s="231">
        <v>5988</v>
      </c>
      <c r="L329" s="231">
        <v>5595</v>
      </c>
      <c r="M329" s="231">
        <v>5058</v>
      </c>
      <c r="N329" s="231">
        <v>6010</v>
      </c>
      <c r="O329" s="231">
        <v>5781</v>
      </c>
      <c r="P329" s="232">
        <f t="shared" ref="P329:P336" si="120">SUM(D329:O329)</f>
        <v>70437</v>
      </c>
    </row>
    <row r="330" spans="2:16" s="14" customFormat="1" ht="15" customHeight="1">
      <c r="B330" s="742"/>
      <c r="C330" s="229" t="s">
        <v>44</v>
      </c>
      <c r="D330" s="230">
        <v>1091</v>
      </c>
      <c r="E330" s="231">
        <v>1565</v>
      </c>
      <c r="F330" s="230">
        <v>1924</v>
      </c>
      <c r="G330" s="231">
        <v>1632</v>
      </c>
      <c r="H330" s="231">
        <v>1694</v>
      </c>
      <c r="I330" s="231">
        <v>1953</v>
      </c>
      <c r="J330" s="231">
        <v>1577</v>
      </c>
      <c r="K330" s="231">
        <f>1268+9</f>
        <v>1277</v>
      </c>
      <c r="L330" s="231">
        <v>1493</v>
      </c>
      <c r="M330" s="231">
        <v>1250</v>
      </c>
      <c r="N330" s="231">
        <v>1997</v>
      </c>
      <c r="O330" s="231">
        <v>3068</v>
      </c>
      <c r="P330" s="232">
        <f t="shared" si="120"/>
        <v>20521</v>
      </c>
    </row>
    <row r="331" spans="2:16" s="14" customFormat="1" ht="15" customHeight="1">
      <c r="B331" s="742"/>
      <c r="C331" s="233" t="s">
        <v>23</v>
      </c>
      <c r="D331" s="234">
        <v>179</v>
      </c>
      <c r="E331" s="235">
        <v>265</v>
      </c>
      <c r="F331" s="234">
        <v>289</v>
      </c>
      <c r="G331" s="235">
        <v>191</v>
      </c>
      <c r="H331" s="235">
        <v>408</v>
      </c>
      <c r="I331" s="235">
        <v>390</v>
      </c>
      <c r="J331" s="235">
        <v>304</v>
      </c>
      <c r="K331" s="235">
        <v>2</v>
      </c>
      <c r="L331" s="235">
        <v>0</v>
      </c>
      <c r="M331" s="235">
        <v>0</v>
      </c>
      <c r="N331" s="235">
        <v>0</v>
      </c>
      <c r="O331" s="235">
        <v>0</v>
      </c>
      <c r="P331" s="232">
        <f t="shared" si="120"/>
        <v>2028</v>
      </c>
    </row>
    <row r="332" spans="2:16" s="14" customFormat="1" ht="15" customHeight="1">
      <c r="B332" s="742"/>
      <c r="C332" s="229" t="s">
        <v>48</v>
      </c>
      <c r="D332" s="230">
        <f>1733+7</f>
        <v>1740</v>
      </c>
      <c r="E332" s="231">
        <v>2048</v>
      </c>
      <c r="F332" s="230">
        <v>2602</v>
      </c>
      <c r="G332" s="231">
        <v>2804</v>
      </c>
      <c r="H332" s="231">
        <v>2254</v>
      </c>
      <c r="I332" s="231">
        <v>2612</v>
      </c>
      <c r="J332" s="231">
        <v>1810</v>
      </c>
      <c r="K332" s="231">
        <v>2171</v>
      </c>
      <c r="L332" s="231">
        <v>2376</v>
      </c>
      <c r="M332" s="231">
        <v>2585</v>
      </c>
      <c r="N332" s="231">
        <v>2819</v>
      </c>
      <c r="O332" s="231">
        <v>2344</v>
      </c>
      <c r="P332" s="232">
        <f t="shared" si="120"/>
        <v>28165</v>
      </c>
    </row>
    <row r="333" spans="2:16" s="14" customFormat="1" ht="15" customHeight="1">
      <c r="B333" s="742"/>
      <c r="C333" s="229" t="s">
        <v>69</v>
      </c>
      <c r="D333" s="230">
        <f>1859+145</f>
        <v>2004</v>
      </c>
      <c r="E333" s="231">
        <v>2726</v>
      </c>
      <c r="F333" s="230">
        <v>3673</v>
      </c>
      <c r="G333" s="231">
        <v>3605</v>
      </c>
      <c r="H333" s="231">
        <v>3377</v>
      </c>
      <c r="I333" s="231">
        <f>3715+229</f>
        <v>3944</v>
      </c>
      <c r="J333" s="231">
        <v>3185</v>
      </c>
      <c r="K333" s="231">
        <f>2483+148</f>
        <v>2631</v>
      </c>
      <c r="L333" s="231">
        <f>2924+217</f>
        <v>3141</v>
      </c>
      <c r="M333" s="231">
        <f>2536+217</f>
        <v>2753</v>
      </c>
      <c r="N333" s="231">
        <v>3788</v>
      </c>
      <c r="O333" s="231">
        <v>3357</v>
      </c>
      <c r="P333" s="232">
        <f t="shared" si="120"/>
        <v>38184</v>
      </c>
    </row>
    <row r="334" spans="2:16" s="14" customFormat="1" ht="15" customHeight="1">
      <c r="B334" s="742"/>
      <c r="C334" s="229" t="s">
        <v>27</v>
      </c>
      <c r="D334" s="230">
        <f>3107+636</f>
        <v>3743</v>
      </c>
      <c r="E334" s="231">
        <v>4388</v>
      </c>
      <c r="F334" s="230">
        <v>5445</v>
      </c>
      <c r="G334" s="231">
        <v>4356</v>
      </c>
      <c r="H334" s="231">
        <v>3849</v>
      </c>
      <c r="I334" s="231">
        <f>3776+519-1</f>
        <v>4294</v>
      </c>
      <c r="J334" s="231">
        <v>3566</v>
      </c>
      <c r="K334" s="231">
        <f>2544+373</f>
        <v>2917</v>
      </c>
      <c r="L334" s="231">
        <f>3004+406</f>
        <v>3410</v>
      </c>
      <c r="M334" s="231">
        <f>2813+397</f>
        <v>3210</v>
      </c>
      <c r="N334" s="231">
        <v>3734</v>
      </c>
      <c r="O334" s="231">
        <v>3666</v>
      </c>
      <c r="P334" s="232">
        <f t="shared" si="120"/>
        <v>46578</v>
      </c>
    </row>
    <row r="335" spans="2:16" s="14" customFormat="1" ht="15" customHeight="1">
      <c r="B335" s="742"/>
      <c r="C335" s="229" t="s">
        <v>101</v>
      </c>
      <c r="D335" s="230">
        <v>0</v>
      </c>
      <c r="E335" s="231">
        <v>0</v>
      </c>
      <c r="F335" s="230">
        <v>0</v>
      </c>
      <c r="G335" s="231">
        <v>0</v>
      </c>
      <c r="H335" s="231">
        <v>370</v>
      </c>
      <c r="I335" s="231">
        <v>1322</v>
      </c>
      <c r="J335" s="231">
        <v>1040</v>
      </c>
      <c r="K335" s="231">
        <v>711</v>
      </c>
      <c r="L335" s="231">
        <v>765</v>
      </c>
      <c r="M335" s="231">
        <v>741</v>
      </c>
      <c r="N335" s="231">
        <v>718</v>
      </c>
      <c r="O335" s="231">
        <v>455</v>
      </c>
      <c r="P335" s="232">
        <f t="shared" si="120"/>
        <v>6122</v>
      </c>
    </row>
    <row r="336" spans="2:16" s="14" customFormat="1" ht="15" customHeight="1">
      <c r="B336" s="742"/>
      <c r="C336" s="233" t="s">
        <v>46</v>
      </c>
      <c r="D336" s="234">
        <v>164</v>
      </c>
      <c r="E336" s="235">
        <v>149</v>
      </c>
      <c r="F336" s="230">
        <v>137</v>
      </c>
      <c r="G336" s="235">
        <v>109</v>
      </c>
      <c r="H336" s="235">
        <v>107</v>
      </c>
      <c r="I336" s="235">
        <v>194</v>
      </c>
      <c r="J336" s="235">
        <v>167</v>
      </c>
      <c r="K336" s="235">
        <v>77</v>
      </c>
      <c r="L336" s="235">
        <v>78</v>
      </c>
      <c r="M336" s="235">
        <v>73</v>
      </c>
      <c r="N336" s="235">
        <v>147</v>
      </c>
      <c r="O336" s="235">
        <v>151</v>
      </c>
      <c r="P336" s="232">
        <f t="shared" si="120"/>
        <v>1553</v>
      </c>
    </row>
    <row r="337" spans="2:16" s="14" customFormat="1" ht="15" customHeight="1">
      <c r="B337" s="744"/>
      <c r="C337" s="236" t="s">
        <v>6</v>
      </c>
      <c r="D337" s="237">
        <f t="shared" ref="D337:P337" si="121">SUM(D329:D336)</f>
        <v>14444</v>
      </c>
      <c r="E337" s="237">
        <f t="shared" si="121"/>
        <v>17297</v>
      </c>
      <c r="F337" s="237">
        <f t="shared" si="121"/>
        <v>20413</v>
      </c>
      <c r="G337" s="237">
        <f t="shared" si="121"/>
        <v>18153</v>
      </c>
      <c r="H337" s="237">
        <f t="shared" si="121"/>
        <v>18495</v>
      </c>
      <c r="I337" s="237">
        <f t="shared" si="121"/>
        <v>21433</v>
      </c>
      <c r="J337" s="237">
        <f t="shared" si="121"/>
        <v>17016</v>
      </c>
      <c r="K337" s="237">
        <f t="shared" si="121"/>
        <v>15774</v>
      </c>
      <c r="L337" s="237">
        <f t="shared" si="121"/>
        <v>16858</v>
      </c>
      <c r="M337" s="237">
        <f t="shared" si="121"/>
        <v>15670</v>
      </c>
      <c r="N337" s="237">
        <f t="shared" si="121"/>
        <v>19213</v>
      </c>
      <c r="O337" s="237">
        <f t="shared" si="121"/>
        <v>18822</v>
      </c>
      <c r="P337" s="238">
        <f t="shared" si="121"/>
        <v>213588</v>
      </c>
    </row>
    <row r="338" spans="2:16" s="14" customFormat="1" ht="15" customHeight="1">
      <c r="B338" s="751"/>
      <c r="C338" s="233" t="s">
        <v>29</v>
      </c>
      <c r="D338" s="234">
        <v>159</v>
      </c>
      <c r="E338" s="235">
        <v>206</v>
      </c>
      <c r="F338" s="230">
        <v>230</v>
      </c>
      <c r="G338" s="235">
        <v>279</v>
      </c>
      <c r="H338" s="235">
        <v>321</v>
      </c>
      <c r="I338" s="235">
        <v>250</v>
      </c>
      <c r="J338" s="235">
        <v>220</v>
      </c>
      <c r="K338" s="235">
        <v>212</v>
      </c>
      <c r="L338" s="235">
        <v>240</v>
      </c>
      <c r="M338" s="235">
        <v>194</v>
      </c>
      <c r="N338" s="235">
        <v>236</v>
      </c>
      <c r="O338" s="235">
        <v>258</v>
      </c>
      <c r="P338" s="239">
        <f t="shared" ref="P338:P345" si="122">SUM(D338:O338)</f>
        <v>2805</v>
      </c>
    </row>
    <row r="339" spans="2:16" s="14" customFormat="1" ht="15" customHeight="1">
      <c r="B339" s="751"/>
      <c r="C339" s="233" t="s">
        <v>30</v>
      </c>
      <c r="D339" s="234">
        <v>5166</v>
      </c>
      <c r="E339" s="235">
        <v>5237</v>
      </c>
      <c r="F339" s="230">
        <v>6514</v>
      </c>
      <c r="G339" s="235">
        <v>6302</v>
      </c>
      <c r="H339" s="235">
        <v>6160</v>
      </c>
      <c r="I339" s="235">
        <v>6573</v>
      </c>
      <c r="J339" s="235">
        <v>6261</v>
      </c>
      <c r="K339" s="235">
        <v>5247</v>
      </c>
      <c r="L339" s="235">
        <v>6011</v>
      </c>
      <c r="M339" s="235">
        <v>4221</v>
      </c>
      <c r="N339" s="235">
        <v>5655</v>
      </c>
      <c r="O339" s="235">
        <v>5039</v>
      </c>
      <c r="P339" s="239">
        <f t="shared" si="122"/>
        <v>68386</v>
      </c>
    </row>
    <row r="340" spans="2:16" s="14" customFormat="1" ht="15" customHeight="1">
      <c r="B340" s="751"/>
      <c r="C340" s="229" t="s">
        <v>31</v>
      </c>
      <c r="D340" s="230">
        <v>109</v>
      </c>
      <c r="E340" s="231">
        <v>213</v>
      </c>
      <c r="F340" s="230">
        <v>217</v>
      </c>
      <c r="G340" s="231">
        <v>164</v>
      </c>
      <c r="H340" s="231">
        <v>241</v>
      </c>
      <c r="I340" s="231">
        <f>86+206</f>
        <v>292</v>
      </c>
      <c r="J340" s="231">
        <v>199</v>
      </c>
      <c r="K340" s="231">
        <f>39+117</f>
        <v>156</v>
      </c>
      <c r="L340" s="231">
        <f>74+259</f>
        <v>333</v>
      </c>
      <c r="M340" s="231">
        <f>52+161</f>
        <v>213</v>
      </c>
      <c r="N340" s="231">
        <v>746</v>
      </c>
      <c r="O340" s="231">
        <v>126</v>
      </c>
      <c r="P340" s="239">
        <f t="shared" si="122"/>
        <v>3009</v>
      </c>
    </row>
    <row r="341" spans="2:16" s="14" customFormat="1" ht="15" customHeight="1">
      <c r="B341" s="751"/>
      <c r="C341" s="229" t="s">
        <v>104</v>
      </c>
      <c r="D341" s="230">
        <v>0</v>
      </c>
      <c r="E341" s="231">
        <v>0</v>
      </c>
      <c r="F341" s="230">
        <v>0</v>
      </c>
      <c r="G341" s="231">
        <v>0</v>
      </c>
      <c r="H341" s="231">
        <v>0</v>
      </c>
      <c r="I341" s="231">
        <v>0</v>
      </c>
      <c r="J341" s="231">
        <v>1342</v>
      </c>
      <c r="K341" s="231">
        <v>1655</v>
      </c>
      <c r="L341" s="231">
        <v>1932</v>
      </c>
      <c r="M341" s="231">
        <v>1089</v>
      </c>
      <c r="N341" s="231">
        <v>1302</v>
      </c>
      <c r="O341" s="231">
        <v>1813</v>
      </c>
      <c r="P341" s="239">
        <f>SUM(D341:O341)</f>
        <v>9133</v>
      </c>
    </row>
    <row r="342" spans="2:16" s="14" customFormat="1" ht="15" customHeight="1">
      <c r="B342" s="751"/>
      <c r="C342" s="229" t="s">
        <v>87</v>
      </c>
      <c r="D342" s="230">
        <v>973</v>
      </c>
      <c r="E342" s="231">
        <v>1326</v>
      </c>
      <c r="F342" s="230">
        <v>2183</v>
      </c>
      <c r="G342" s="231">
        <v>1896</v>
      </c>
      <c r="H342" s="231">
        <v>1922</v>
      </c>
      <c r="I342" s="231">
        <v>1833</v>
      </c>
      <c r="J342" s="231">
        <v>2228</v>
      </c>
      <c r="K342" s="231">
        <v>1420</v>
      </c>
      <c r="L342" s="231">
        <v>2418</v>
      </c>
      <c r="M342" s="231">
        <v>1460</v>
      </c>
      <c r="N342" s="231">
        <v>3062</v>
      </c>
      <c r="O342" s="231">
        <v>2926</v>
      </c>
      <c r="P342" s="239">
        <f t="shared" si="122"/>
        <v>23647</v>
      </c>
    </row>
    <row r="343" spans="2:16" s="14" customFormat="1" ht="15" customHeight="1">
      <c r="B343" s="751"/>
      <c r="C343" s="229" t="s">
        <v>75</v>
      </c>
      <c r="D343" s="230">
        <v>2457</v>
      </c>
      <c r="E343" s="231">
        <v>2923</v>
      </c>
      <c r="F343" s="230">
        <v>4452</v>
      </c>
      <c r="G343" s="231">
        <v>3940</v>
      </c>
      <c r="H343" s="231">
        <v>3634</v>
      </c>
      <c r="I343" s="231">
        <v>3517</v>
      </c>
      <c r="J343" s="231">
        <v>3446</v>
      </c>
      <c r="K343" s="231">
        <v>2835</v>
      </c>
      <c r="L343" s="231">
        <v>3337</v>
      </c>
      <c r="M343" s="231">
        <v>3200</v>
      </c>
      <c r="N343" s="231">
        <v>4011</v>
      </c>
      <c r="O343" s="231">
        <v>4480</v>
      </c>
      <c r="P343" s="239">
        <f t="shared" si="122"/>
        <v>42232</v>
      </c>
    </row>
    <row r="344" spans="2:16" s="14" customFormat="1" ht="15" customHeight="1">
      <c r="B344" s="751"/>
      <c r="C344" s="229" t="s">
        <v>83</v>
      </c>
      <c r="D344" s="230">
        <v>5191</v>
      </c>
      <c r="E344" s="231">
        <v>5055</v>
      </c>
      <c r="F344" s="230">
        <v>6328</v>
      </c>
      <c r="G344" s="231">
        <v>5343</v>
      </c>
      <c r="H344" s="231">
        <v>5507</v>
      </c>
      <c r="I344" s="231">
        <v>6176</v>
      </c>
      <c r="J344" s="231">
        <v>6017</v>
      </c>
      <c r="K344" s="231">
        <v>7768</v>
      </c>
      <c r="L344" s="231">
        <v>10016</v>
      </c>
      <c r="M344" s="231">
        <v>6200</v>
      </c>
      <c r="N344" s="231">
        <v>8107</v>
      </c>
      <c r="O344" s="231">
        <v>6750</v>
      </c>
      <c r="P344" s="232">
        <f t="shared" si="122"/>
        <v>78458</v>
      </c>
    </row>
    <row r="345" spans="2:16" s="14" customFormat="1" ht="15" customHeight="1">
      <c r="B345" s="751"/>
      <c r="C345" s="233" t="s">
        <v>35</v>
      </c>
      <c r="D345" s="234">
        <v>1425</v>
      </c>
      <c r="E345" s="235">
        <v>1340</v>
      </c>
      <c r="F345" s="230">
        <v>1096</v>
      </c>
      <c r="G345" s="235">
        <v>1591</v>
      </c>
      <c r="H345" s="235">
        <v>1783</v>
      </c>
      <c r="I345" s="235">
        <v>1494</v>
      </c>
      <c r="J345" s="235">
        <v>1217</v>
      </c>
      <c r="K345" s="235">
        <v>1014</v>
      </c>
      <c r="L345" s="235">
        <v>1205</v>
      </c>
      <c r="M345" s="235">
        <v>937</v>
      </c>
      <c r="N345" s="235">
        <v>1118</v>
      </c>
      <c r="O345" s="235">
        <v>985</v>
      </c>
      <c r="P345" s="232">
        <f t="shared" si="122"/>
        <v>15205</v>
      </c>
    </row>
    <row r="346" spans="2:16" s="14" customFormat="1" ht="15" customHeight="1" thickBot="1">
      <c r="B346" s="752"/>
      <c r="C346" s="236" t="s">
        <v>6</v>
      </c>
      <c r="D346" s="237">
        <f t="shared" ref="D346:P346" si="123">SUM(D338:D345)</f>
        <v>15480</v>
      </c>
      <c r="E346" s="237">
        <f t="shared" si="123"/>
        <v>16300</v>
      </c>
      <c r="F346" s="240">
        <f t="shared" si="123"/>
        <v>21020</v>
      </c>
      <c r="G346" s="237">
        <f t="shared" si="123"/>
        <v>19515</v>
      </c>
      <c r="H346" s="237">
        <f t="shared" si="123"/>
        <v>19568</v>
      </c>
      <c r="I346" s="237">
        <f t="shared" si="123"/>
        <v>20135</v>
      </c>
      <c r="J346" s="237">
        <f t="shared" si="123"/>
        <v>20930</v>
      </c>
      <c r="K346" s="237">
        <f t="shared" si="123"/>
        <v>20307</v>
      </c>
      <c r="L346" s="237">
        <f t="shared" si="123"/>
        <v>25492</v>
      </c>
      <c r="M346" s="237">
        <f t="shared" si="123"/>
        <v>17514</v>
      </c>
      <c r="N346" s="237">
        <f t="shared" si="123"/>
        <v>24237</v>
      </c>
      <c r="O346" s="237">
        <f t="shared" si="123"/>
        <v>22377</v>
      </c>
      <c r="P346" s="238">
        <f t="shared" si="123"/>
        <v>242875</v>
      </c>
    </row>
    <row r="347" spans="2:16" s="14" customFormat="1" ht="15" customHeight="1">
      <c r="B347" s="741" t="s">
        <v>36</v>
      </c>
      <c r="C347" s="241" t="s">
        <v>37</v>
      </c>
      <c r="D347" s="242">
        <v>4843</v>
      </c>
      <c r="E347" s="243">
        <v>5421</v>
      </c>
      <c r="F347" s="244">
        <v>6031</v>
      </c>
      <c r="G347" s="243">
        <v>5701</v>
      </c>
      <c r="H347" s="243">
        <v>5319</v>
      </c>
      <c r="I347" s="243">
        <v>5019</v>
      </c>
      <c r="J347" s="243">
        <v>5516</v>
      </c>
      <c r="K347" s="243">
        <v>4738</v>
      </c>
      <c r="L347" s="243">
        <v>5400</v>
      </c>
      <c r="M347" s="243">
        <v>4207</v>
      </c>
      <c r="N347" s="243">
        <v>5354</v>
      </c>
      <c r="O347" s="243">
        <v>4635</v>
      </c>
      <c r="P347" s="245">
        <f>SUM(D347:O347)</f>
        <v>62184</v>
      </c>
    </row>
    <row r="348" spans="2:16" s="14" customFormat="1" ht="15" customHeight="1">
      <c r="B348" s="742"/>
      <c r="C348" s="246" t="s">
        <v>38</v>
      </c>
      <c r="D348" s="247">
        <v>104</v>
      </c>
      <c r="E348" s="248">
        <v>138</v>
      </c>
      <c r="F348" s="230">
        <v>157</v>
      </c>
      <c r="G348" s="248">
        <v>122</v>
      </c>
      <c r="H348" s="248">
        <v>118</v>
      </c>
      <c r="I348" s="248">
        <v>162</v>
      </c>
      <c r="J348" s="248">
        <v>135</v>
      </c>
      <c r="K348" s="248">
        <v>103</v>
      </c>
      <c r="L348" s="248">
        <v>118</v>
      </c>
      <c r="M348" s="248">
        <v>85</v>
      </c>
      <c r="N348" s="248">
        <v>124</v>
      </c>
      <c r="O348" s="248">
        <v>108</v>
      </c>
      <c r="P348" s="249">
        <f>SUM(D348:O348)</f>
        <v>1474</v>
      </c>
    </row>
    <row r="349" spans="2:16" s="14" customFormat="1" ht="15" customHeight="1">
      <c r="B349" s="742"/>
      <c r="C349" s="246" t="s">
        <v>39</v>
      </c>
      <c r="D349" s="247">
        <v>141</v>
      </c>
      <c r="E349" s="248">
        <v>2</v>
      </c>
      <c r="F349" s="230">
        <v>0</v>
      </c>
      <c r="G349" s="248">
        <v>24</v>
      </c>
      <c r="H349" s="248">
        <v>22</v>
      </c>
      <c r="I349" s="248">
        <v>266</v>
      </c>
      <c r="J349" s="248">
        <v>14</v>
      </c>
      <c r="K349" s="248">
        <v>105</v>
      </c>
      <c r="L349" s="248">
        <v>151</v>
      </c>
      <c r="M349" s="248">
        <v>45</v>
      </c>
      <c r="N349" s="248">
        <v>99</v>
      </c>
      <c r="O349" s="248">
        <v>560</v>
      </c>
      <c r="P349" s="249">
        <f>SUM(D349:O349)</f>
        <v>1429</v>
      </c>
    </row>
    <row r="350" spans="2:16" s="14" customFormat="1" ht="15" customHeight="1" thickBot="1">
      <c r="B350" s="743"/>
      <c r="C350" s="250" t="s">
        <v>6</v>
      </c>
      <c r="D350" s="251">
        <f t="shared" ref="D350:P350" si="124">SUM(D347:D349)</f>
        <v>5088</v>
      </c>
      <c r="E350" s="251">
        <f t="shared" si="124"/>
        <v>5561</v>
      </c>
      <c r="F350" s="251">
        <f t="shared" si="124"/>
        <v>6188</v>
      </c>
      <c r="G350" s="251">
        <f t="shared" si="124"/>
        <v>5847</v>
      </c>
      <c r="H350" s="251">
        <f t="shared" si="124"/>
        <v>5459</v>
      </c>
      <c r="I350" s="251">
        <f t="shared" si="124"/>
        <v>5447</v>
      </c>
      <c r="J350" s="251">
        <f t="shared" si="124"/>
        <v>5665</v>
      </c>
      <c r="K350" s="251">
        <f t="shared" si="124"/>
        <v>4946</v>
      </c>
      <c r="L350" s="251">
        <f t="shared" si="124"/>
        <v>5669</v>
      </c>
      <c r="M350" s="251">
        <f t="shared" si="124"/>
        <v>4337</v>
      </c>
      <c r="N350" s="251">
        <f t="shared" si="124"/>
        <v>5577</v>
      </c>
      <c r="O350" s="251">
        <f t="shared" si="124"/>
        <v>5303</v>
      </c>
      <c r="P350" s="252">
        <f t="shared" si="124"/>
        <v>65087</v>
      </c>
    </row>
    <row r="351" spans="2:16" s="14" customFormat="1" ht="15" customHeight="1" thickBot="1">
      <c r="B351" s="733" t="s">
        <v>40</v>
      </c>
      <c r="C351" s="734"/>
      <c r="D351" s="253">
        <f t="shared" ref="D351:P351" si="125">D337+D346+D350</f>
        <v>35012</v>
      </c>
      <c r="E351" s="253">
        <f t="shared" si="125"/>
        <v>39158</v>
      </c>
      <c r="F351" s="253">
        <f t="shared" si="125"/>
        <v>47621</v>
      </c>
      <c r="G351" s="253">
        <f t="shared" si="125"/>
        <v>43515</v>
      </c>
      <c r="H351" s="253">
        <f t="shared" si="125"/>
        <v>43522</v>
      </c>
      <c r="I351" s="253">
        <f t="shared" si="125"/>
        <v>47015</v>
      </c>
      <c r="J351" s="253">
        <f t="shared" si="125"/>
        <v>43611</v>
      </c>
      <c r="K351" s="253">
        <f t="shared" si="125"/>
        <v>41027</v>
      </c>
      <c r="L351" s="253">
        <f t="shared" si="125"/>
        <v>48019</v>
      </c>
      <c r="M351" s="253">
        <f t="shared" si="125"/>
        <v>37521</v>
      </c>
      <c r="N351" s="253">
        <f t="shared" si="125"/>
        <v>49027</v>
      </c>
      <c r="O351" s="253">
        <f t="shared" si="125"/>
        <v>46502</v>
      </c>
      <c r="P351" s="254">
        <f t="shared" si="125"/>
        <v>521550</v>
      </c>
    </row>
    <row r="352" spans="2:16" s="14" customFormat="1" ht="15" customHeight="1">
      <c r="B352" s="176"/>
      <c r="C352" s="176"/>
      <c r="D352" s="75"/>
      <c r="E352" s="75"/>
      <c r="F352" s="75"/>
      <c r="G352" s="75"/>
      <c r="H352" s="75"/>
      <c r="I352" s="75"/>
      <c r="J352" s="75"/>
      <c r="K352" s="75"/>
      <c r="L352" s="75"/>
      <c r="M352" s="177"/>
      <c r="N352" s="177"/>
      <c r="O352" s="177"/>
      <c r="P352" s="75"/>
    </row>
    <row r="353" spans="2:16" s="14" customFormat="1" ht="15" customHeight="1">
      <c r="B353" s="178" t="s">
        <v>22</v>
      </c>
      <c r="C353" s="179"/>
      <c r="D353" s="180">
        <f>SUM(D354:D355)</f>
        <v>5523</v>
      </c>
      <c r="E353" s="180">
        <f>SUM(E354:E355)</f>
        <v>6156</v>
      </c>
      <c r="F353" s="180">
        <f t="shared" ref="F353:O353" si="126">F329</f>
        <v>6343</v>
      </c>
      <c r="G353" s="180">
        <f t="shared" si="126"/>
        <v>5456</v>
      </c>
      <c r="H353" s="180">
        <f t="shared" si="126"/>
        <v>6436</v>
      </c>
      <c r="I353" s="180">
        <f t="shared" si="126"/>
        <v>6724</v>
      </c>
      <c r="J353" s="180">
        <f t="shared" si="126"/>
        <v>5367</v>
      </c>
      <c r="K353" s="180">
        <f t="shared" si="126"/>
        <v>5988</v>
      </c>
      <c r="L353" s="180">
        <f t="shared" si="126"/>
        <v>5595</v>
      </c>
      <c r="M353" s="180">
        <f t="shared" si="126"/>
        <v>5058</v>
      </c>
      <c r="N353" s="180">
        <f>N354+N355</f>
        <v>6010</v>
      </c>
      <c r="O353" s="180">
        <f t="shared" si="126"/>
        <v>5781</v>
      </c>
      <c r="P353" s="180">
        <f>SUM(D353:O353)</f>
        <v>70437</v>
      </c>
    </row>
    <row r="354" spans="2:16" s="14" customFormat="1" ht="15" customHeight="1">
      <c r="B354" s="181"/>
      <c r="C354" s="182" t="s">
        <v>99</v>
      </c>
      <c r="D354" s="183">
        <v>2999</v>
      </c>
      <c r="E354" s="183">
        <v>340</v>
      </c>
      <c r="F354" s="183">
        <v>0</v>
      </c>
      <c r="G354" s="183">
        <v>1</v>
      </c>
      <c r="H354" s="183">
        <v>-1</v>
      </c>
      <c r="I354" s="183">
        <v>1</v>
      </c>
      <c r="J354" s="183">
        <v>1</v>
      </c>
      <c r="K354" s="183">
        <v>0</v>
      </c>
      <c r="L354" s="183">
        <v>1</v>
      </c>
      <c r="M354" s="183">
        <v>0</v>
      </c>
      <c r="N354" s="222">
        <v>-1</v>
      </c>
      <c r="O354" s="183">
        <v>0</v>
      </c>
      <c r="P354" s="184">
        <f>SUM(D354:O354)</f>
        <v>3341</v>
      </c>
    </row>
    <row r="355" spans="2:16" s="14" customFormat="1" ht="15" customHeight="1">
      <c r="B355" s="186"/>
      <c r="C355" s="182" t="s">
        <v>100</v>
      </c>
      <c r="D355" s="183">
        <v>2524</v>
      </c>
      <c r="E355" s="183">
        <v>5816</v>
      </c>
      <c r="F355" s="183">
        <f>F353-F354</f>
        <v>6343</v>
      </c>
      <c r="G355" s="183">
        <v>5455</v>
      </c>
      <c r="H355" s="183">
        <v>6437</v>
      </c>
      <c r="I355" s="183">
        <v>6723</v>
      </c>
      <c r="J355" s="183">
        <f>J353-J354</f>
        <v>5366</v>
      </c>
      <c r="K355" s="183">
        <v>5988</v>
      </c>
      <c r="L355" s="183">
        <v>5594</v>
      </c>
      <c r="M355" s="183">
        <v>5058</v>
      </c>
      <c r="N355" s="183">
        <v>6011</v>
      </c>
      <c r="O355" s="183">
        <v>5781</v>
      </c>
      <c r="P355" s="184">
        <f>SUM(D355:O355)</f>
        <v>67096</v>
      </c>
    </row>
    <row r="356" spans="2:16" s="14" customFormat="1" ht="15" customHeight="1">
      <c r="B356" s="176"/>
      <c r="C356" s="176"/>
      <c r="D356" s="75"/>
      <c r="E356" s="75"/>
      <c r="F356" s="75"/>
      <c r="G356" s="75"/>
      <c r="H356" s="75"/>
      <c r="I356" s="75"/>
      <c r="J356" s="75"/>
      <c r="K356" s="75"/>
      <c r="L356" s="75"/>
      <c r="M356" s="177"/>
      <c r="N356" s="177"/>
      <c r="O356" s="177"/>
      <c r="P356" s="75"/>
    </row>
    <row r="357" spans="2:16" s="14" customFormat="1" ht="15" customHeight="1">
      <c r="B357" s="178" t="s">
        <v>26</v>
      </c>
      <c r="C357" s="179"/>
      <c r="D357" s="180">
        <f t="shared" ref="D357:P357" si="127">D333</f>
        <v>2004</v>
      </c>
      <c r="E357" s="180">
        <f t="shared" si="127"/>
        <v>2726</v>
      </c>
      <c r="F357" s="180">
        <f t="shared" si="127"/>
        <v>3673</v>
      </c>
      <c r="G357" s="180">
        <f t="shared" si="127"/>
        <v>3605</v>
      </c>
      <c r="H357" s="180">
        <f t="shared" si="127"/>
        <v>3377</v>
      </c>
      <c r="I357" s="180">
        <f t="shared" si="127"/>
        <v>3944</v>
      </c>
      <c r="J357" s="180">
        <f t="shared" si="127"/>
        <v>3185</v>
      </c>
      <c r="K357" s="180">
        <f t="shared" si="127"/>
        <v>2631</v>
      </c>
      <c r="L357" s="180">
        <f t="shared" si="127"/>
        <v>3141</v>
      </c>
      <c r="M357" s="180">
        <f t="shared" si="127"/>
        <v>2753</v>
      </c>
      <c r="N357" s="180">
        <f t="shared" si="127"/>
        <v>3788</v>
      </c>
      <c r="O357" s="180">
        <f t="shared" si="127"/>
        <v>3357</v>
      </c>
      <c r="P357" s="180">
        <f t="shared" si="127"/>
        <v>38184</v>
      </c>
    </row>
    <row r="358" spans="2:16" s="14" customFormat="1" ht="15" customHeight="1">
      <c r="B358" s="181"/>
      <c r="C358" s="182" t="s">
        <v>71</v>
      </c>
      <c r="D358" s="183">
        <v>1859</v>
      </c>
      <c r="E358" s="183">
        <f>E357-E359-1</f>
        <v>2552</v>
      </c>
      <c r="F358" s="183">
        <f>F357-F359-1</f>
        <v>3436</v>
      </c>
      <c r="G358" s="183">
        <f>G357-G359</f>
        <v>3319</v>
      </c>
      <c r="H358" s="183">
        <f>H357-H359</f>
        <v>3168</v>
      </c>
      <c r="I358" s="183">
        <v>3715</v>
      </c>
      <c r="J358" s="183">
        <f>J357-J359</f>
        <v>2978</v>
      </c>
      <c r="K358" s="183">
        <v>2483</v>
      </c>
      <c r="L358" s="183">
        <v>2924</v>
      </c>
      <c r="M358" s="183">
        <v>2536</v>
      </c>
      <c r="N358" s="183">
        <f>N357-N359</f>
        <v>3556</v>
      </c>
      <c r="O358" s="183">
        <v>3084</v>
      </c>
      <c r="P358" s="184">
        <f>SUM(D358:O358)</f>
        <v>35610</v>
      </c>
    </row>
    <row r="359" spans="2:16" s="14" customFormat="1" ht="15" customHeight="1">
      <c r="B359" s="185"/>
      <c r="C359" s="182" t="s">
        <v>90</v>
      </c>
      <c r="D359" s="183">
        <v>145</v>
      </c>
      <c r="E359" s="183">
        <v>173</v>
      </c>
      <c r="F359" s="183">
        <v>236</v>
      </c>
      <c r="G359" s="183">
        <v>286</v>
      </c>
      <c r="H359" s="183">
        <v>209</v>
      </c>
      <c r="I359" s="183">
        <v>229</v>
      </c>
      <c r="J359" s="183">
        <v>207</v>
      </c>
      <c r="K359" s="183">
        <v>148</v>
      </c>
      <c r="L359" s="183">
        <v>217</v>
      </c>
      <c r="M359" s="183">
        <v>217</v>
      </c>
      <c r="N359" s="183">
        <v>232</v>
      </c>
      <c r="O359" s="183">
        <v>273</v>
      </c>
      <c r="P359" s="184">
        <f>SUM(D359:O359)</f>
        <v>2572</v>
      </c>
    </row>
    <row r="360" spans="2:16" s="14" customFormat="1" ht="15" customHeight="1">
      <c r="B360" s="186"/>
      <c r="C360" s="182" t="s">
        <v>89</v>
      </c>
      <c r="D360" s="183">
        <v>0</v>
      </c>
      <c r="E360" s="183">
        <v>1</v>
      </c>
      <c r="F360" s="183">
        <v>1</v>
      </c>
      <c r="G360" s="183">
        <v>0</v>
      </c>
      <c r="H360" s="183">
        <v>0</v>
      </c>
      <c r="I360" s="183">
        <v>0</v>
      </c>
      <c r="J360" s="183">
        <v>0</v>
      </c>
      <c r="K360" s="183">
        <v>0</v>
      </c>
      <c r="L360" s="183">
        <v>0</v>
      </c>
      <c r="M360" s="183">
        <v>0</v>
      </c>
      <c r="N360" s="183">
        <v>0</v>
      </c>
      <c r="O360" s="183">
        <v>0</v>
      </c>
      <c r="P360" s="184">
        <f>SUM(D360:O360)</f>
        <v>2</v>
      </c>
    </row>
    <row r="361" spans="2:16" s="14" customFormat="1" ht="15" customHeight="1">
      <c r="B361" s="187"/>
      <c r="C361" s="188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90"/>
    </row>
    <row r="362" spans="2:16" s="14" customFormat="1" ht="15" customHeight="1">
      <c r="B362" s="178" t="s">
        <v>27</v>
      </c>
      <c r="C362" s="179"/>
      <c r="D362" s="180">
        <f t="shared" ref="D362:P362" si="128">D334</f>
        <v>3743</v>
      </c>
      <c r="E362" s="180">
        <f t="shared" si="128"/>
        <v>4388</v>
      </c>
      <c r="F362" s="180">
        <f t="shared" si="128"/>
        <v>5445</v>
      </c>
      <c r="G362" s="180">
        <f t="shared" si="128"/>
        <v>4356</v>
      </c>
      <c r="H362" s="180">
        <f t="shared" si="128"/>
        <v>3849</v>
      </c>
      <c r="I362" s="180">
        <f t="shared" si="128"/>
        <v>4294</v>
      </c>
      <c r="J362" s="180">
        <f t="shared" si="128"/>
        <v>3566</v>
      </c>
      <c r="K362" s="180">
        <f t="shared" si="128"/>
        <v>2917</v>
      </c>
      <c r="L362" s="180">
        <f t="shared" si="128"/>
        <v>3410</v>
      </c>
      <c r="M362" s="180">
        <f t="shared" si="128"/>
        <v>3210</v>
      </c>
      <c r="N362" s="180">
        <f t="shared" si="128"/>
        <v>3734</v>
      </c>
      <c r="O362" s="180">
        <f t="shared" si="128"/>
        <v>3666</v>
      </c>
      <c r="P362" s="180">
        <f t="shared" si="128"/>
        <v>46578</v>
      </c>
    </row>
    <row r="363" spans="2:16" s="14" customFormat="1" ht="15" customHeight="1">
      <c r="B363" s="181"/>
      <c r="C363" s="182" t="s">
        <v>77</v>
      </c>
      <c r="D363" s="191">
        <v>0</v>
      </c>
      <c r="E363" s="191">
        <v>0</v>
      </c>
      <c r="F363" s="191">
        <v>0</v>
      </c>
      <c r="G363" s="191">
        <v>0</v>
      </c>
      <c r="H363" s="191">
        <v>1</v>
      </c>
      <c r="I363" s="191">
        <v>-1</v>
      </c>
      <c r="J363" s="191">
        <v>1</v>
      </c>
      <c r="K363" s="191">
        <v>0</v>
      </c>
      <c r="L363" s="191">
        <v>0</v>
      </c>
      <c r="M363" s="191">
        <v>0</v>
      </c>
      <c r="N363" s="191">
        <v>0</v>
      </c>
      <c r="O363" s="191">
        <v>0</v>
      </c>
      <c r="P363" s="191">
        <f>SUM(D363:O363)</f>
        <v>1</v>
      </c>
    </row>
    <row r="364" spans="2:16" s="14" customFormat="1" ht="15" customHeight="1">
      <c r="B364" s="181"/>
      <c r="C364" s="182" t="s">
        <v>85</v>
      </c>
      <c r="D364" s="191">
        <v>3107</v>
      </c>
      <c r="E364" s="191">
        <f>E362-E365</f>
        <v>3691</v>
      </c>
      <c r="F364" s="191">
        <f>F362-F365</f>
        <v>4719</v>
      </c>
      <c r="G364" s="191">
        <f>G362-G365</f>
        <v>3800</v>
      </c>
      <c r="H364" s="191">
        <f>H362-H365-H363</f>
        <v>3402</v>
      </c>
      <c r="I364" s="191">
        <v>3776</v>
      </c>
      <c r="J364" s="191">
        <f>J362-J363-J365</f>
        <v>3079</v>
      </c>
      <c r="K364" s="191">
        <v>2544</v>
      </c>
      <c r="L364" s="191">
        <v>3004</v>
      </c>
      <c r="M364" s="191">
        <v>2813</v>
      </c>
      <c r="N364" s="191">
        <f>N362-N365</f>
        <v>3251</v>
      </c>
      <c r="O364" s="191">
        <v>3111</v>
      </c>
      <c r="P364" s="184">
        <f>SUM(D364:O364)</f>
        <v>40297</v>
      </c>
    </row>
    <row r="365" spans="2:16" s="14" customFormat="1" ht="15" customHeight="1">
      <c r="B365" s="186"/>
      <c r="C365" s="182" t="s">
        <v>96</v>
      </c>
      <c r="D365" s="183">
        <v>636</v>
      </c>
      <c r="E365" s="183">
        <v>697</v>
      </c>
      <c r="F365" s="183">
        <v>726</v>
      </c>
      <c r="G365" s="183">
        <v>556</v>
      </c>
      <c r="H365" s="183">
        <v>446</v>
      </c>
      <c r="I365" s="183">
        <v>519</v>
      </c>
      <c r="J365" s="183">
        <v>486</v>
      </c>
      <c r="K365" s="183">
        <v>373</v>
      </c>
      <c r="L365" s="183">
        <v>406</v>
      </c>
      <c r="M365" s="183">
        <v>397</v>
      </c>
      <c r="N365" s="183">
        <v>483</v>
      </c>
      <c r="O365" s="183">
        <v>555</v>
      </c>
      <c r="P365" s="184">
        <f>SUM(D365:O365)</f>
        <v>6280</v>
      </c>
    </row>
    <row r="366" spans="2:16" s="14" customFormat="1" ht="15" customHeight="1">
      <c r="B366" s="223"/>
      <c r="C366" s="188"/>
      <c r="D366" s="504"/>
      <c r="E366" s="504"/>
      <c r="F366" s="504"/>
      <c r="G366" s="504"/>
      <c r="H366" s="504"/>
      <c r="I366" s="504"/>
      <c r="J366" s="504"/>
      <c r="K366" s="504"/>
      <c r="L366" s="504"/>
      <c r="M366" s="504"/>
      <c r="N366" s="504"/>
      <c r="O366" s="504"/>
      <c r="P366" s="190"/>
    </row>
    <row r="367" spans="2:16" s="14" customFormat="1" ht="15" customHeight="1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2:16" s="14" customFormat="1" ht="15" customHeight="1" thickBot="1">
      <c r="B368" s="146" t="s">
        <v>82</v>
      </c>
      <c r="C368" s="146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8"/>
    </row>
    <row r="369" spans="2:18" s="14" customFormat="1" ht="15" customHeight="1" thickBot="1">
      <c r="B369" s="224"/>
      <c r="C369" s="225" t="s">
        <v>88</v>
      </c>
      <c r="D369" s="226">
        <v>1</v>
      </c>
      <c r="E369" s="227">
        <v>2</v>
      </c>
      <c r="F369" s="227">
        <v>3</v>
      </c>
      <c r="G369" s="227">
        <v>4</v>
      </c>
      <c r="H369" s="227">
        <v>5</v>
      </c>
      <c r="I369" s="227">
        <v>6</v>
      </c>
      <c r="J369" s="227">
        <v>7</v>
      </c>
      <c r="K369" s="227">
        <v>8</v>
      </c>
      <c r="L369" s="227">
        <v>9</v>
      </c>
      <c r="M369" s="227">
        <v>10</v>
      </c>
      <c r="N369" s="227">
        <v>11</v>
      </c>
      <c r="O369" s="227">
        <v>12</v>
      </c>
      <c r="P369" s="228" t="s">
        <v>6</v>
      </c>
    </row>
    <row r="370" spans="2:18" s="14" customFormat="1" ht="15" customHeight="1">
      <c r="B370" s="741"/>
      <c r="C370" s="229" t="s">
        <v>22</v>
      </c>
      <c r="D370" s="230">
        <v>5209</v>
      </c>
      <c r="E370" s="231">
        <v>5727</v>
      </c>
      <c r="F370" s="230">
        <v>7215</v>
      </c>
      <c r="G370" s="231">
        <v>5579</v>
      </c>
      <c r="H370" s="231">
        <v>5228</v>
      </c>
      <c r="I370" s="231">
        <v>6047</v>
      </c>
      <c r="J370" s="231">
        <v>5626</v>
      </c>
      <c r="K370" s="231">
        <v>5506</v>
      </c>
      <c r="L370" s="231">
        <v>5790</v>
      </c>
      <c r="M370" s="231">
        <v>5742</v>
      </c>
      <c r="N370" s="231">
        <v>9256</v>
      </c>
      <c r="O370" s="231">
        <v>8208</v>
      </c>
      <c r="P370" s="232">
        <f t="shared" ref="P370:P376" si="129">SUM(D370:O370)</f>
        <v>75133</v>
      </c>
    </row>
    <row r="371" spans="2:18" s="14" customFormat="1" ht="15" customHeight="1">
      <c r="B371" s="742"/>
      <c r="C371" s="229" t="s">
        <v>44</v>
      </c>
      <c r="D371" s="230">
        <v>1710</v>
      </c>
      <c r="E371" s="231">
        <v>1476</v>
      </c>
      <c r="F371" s="230">
        <v>1815</v>
      </c>
      <c r="G371" s="231">
        <v>1673</v>
      </c>
      <c r="H371" s="231">
        <v>1385</v>
      </c>
      <c r="I371" s="231">
        <v>1713</v>
      </c>
      <c r="J371" s="231">
        <v>2069</v>
      </c>
      <c r="K371" s="231">
        <v>1569</v>
      </c>
      <c r="L371" s="231">
        <v>1393</v>
      </c>
      <c r="M371" s="231">
        <v>1862</v>
      </c>
      <c r="N371" s="231">
        <v>1694</v>
      </c>
      <c r="O371" s="231">
        <v>1460</v>
      </c>
      <c r="P371" s="232">
        <f t="shared" si="129"/>
        <v>19819</v>
      </c>
    </row>
    <row r="372" spans="2:18" s="14" customFormat="1" ht="15" customHeight="1">
      <c r="B372" s="742"/>
      <c r="C372" s="233" t="s">
        <v>23</v>
      </c>
      <c r="D372" s="234">
        <v>286</v>
      </c>
      <c r="E372" s="235">
        <v>316</v>
      </c>
      <c r="F372" s="234">
        <v>380</v>
      </c>
      <c r="G372" s="235">
        <v>411</v>
      </c>
      <c r="H372" s="235">
        <v>341</v>
      </c>
      <c r="I372" s="235">
        <v>442</v>
      </c>
      <c r="J372" s="235">
        <v>308</v>
      </c>
      <c r="K372" s="235">
        <v>390</v>
      </c>
      <c r="L372" s="235">
        <v>224</v>
      </c>
      <c r="M372" s="235">
        <v>356</v>
      </c>
      <c r="N372" s="235">
        <v>343</v>
      </c>
      <c r="O372" s="235">
        <v>361</v>
      </c>
      <c r="P372" s="232">
        <f t="shared" si="129"/>
        <v>4158</v>
      </c>
    </row>
    <row r="373" spans="2:18" s="14" customFormat="1" ht="15" customHeight="1">
      <c r="B373" s="742"/>
      <c r="C373" s="229" t="s">
        <v>48</v>
      </c>
      <c r="D373" s="230">
        <v>2294</v>
      </c>
      <c r="E373" s="231">
        <v>3517</v>
      </c>
      <c r="F373" s="230">
        <v>3389</v>
      </c>
      <c r="G373" s="231">
        <v>3300</v>
      </c>
      <c r="H373" s="231">
        <v>3711</v>
      </c>
      <c r="I373" s="231">
        <v>4091</v>
      </c>
      <c r="J373" s="231">
        <v>2370</v>
      </c>
      <c r="K373" s="231">
        <v>2614</v>
      </c>
      <c r="L373" s="231">
        <v>2201</v>
      </c>
      <c r="M373" s="231">
        <v>2781</v>
      </c>
      <c r="N373" s="231">
        <v>3047</v>
      </c>
      <c r="O373" s="231">
        <v>3539</v>
      </c>
      <c r="P373" s="232">
        <f t="shared" si="129"/>
        <v>36854</v>
      </c>
    </row>
    <row r="374" spans="2:18" s="14" customFormat="1" ht="15" customHeight="1">
      <c r="B374" s="742"/>
      <c r="C374" s="229" t="s">
        <v>69</v>
      </c>
      <c r="D374" s="230">
        <v>3858</v>
      </c>
      <c r="E374" s="231">
        <v>3615</v>
      </c>
      <c r="F374" s="230">
        <v>4255</v>
      </c>
      <c r="G374" s="231">
        <v>3888</v>
      </c>
      <c r="H374" s="231">
        <v>4516</v>
      </c>
      <c r="I374" s="231">
        <v>4875</v>
      </c>
      <c r="J374" s="231">
        <v>3174</v>
      </c>
      <c r="K374" s="231">
        <v>3217</v>
      </c>
      <c r="L374" s="231">
        <v>3315</v>
      </c>
      <c r="M374" s="231">
        <v>3206</v>
      </c>
      <c r="N374" s="231">
        <v>3326</v>
      </c>
      <c r="O374" s="231">
        <v>3391</v>
      </c>
      <c r="P374" s="232">
        <f t="shared" si="129"/>
        <v>44636</v>
      </c>
    </row>
    <row r="375" spans="2:18" s="14" customFormat="1" ht="15" customHeight="1">
      <c r="B375" s="742"/>
      <c r="C375" s="229" t="s">
        <v>27</v>
      </c>
      <c r="D375" s="230">
        <v>1373</v>
      </c>
      <c r="E375" s="231">
        <v>6046</v>
      </c>
      <c r="F375" s="230">
        <v>6256</v>
      </c>
      <c r="G375" s="231">
        <v>5504</v>
      </c>
      <c r="H375" s="231">
        <v>4669</v>
      </c>
      <c r="I375" s="231">
        <v>5042</v>
      </c>
      <c r="J375" s="231">
        <v>5086</v>
      </c>
      <c r="K375" s="231">
        <v>3585</v>
      </c>
      <c r="L375" s="231">
        <f>96+4257</f>
        <v>4353</v>
      </c>
      <c r="M375" s="231">
        <f>32+3879</f>
        <v>3911</v>
      </c>
      <c r="N375" s="231">
        <v>4072</v>
      </c>
      <c r="O375" s="231">
        <v>6163</v>
      </c>
      <c r="P375" s="232">
        <f t="shared" si="129"/>
        <v>56060</v>
      </c>
    </row>
    <row r="376" spans="2:18" s="14" customFormat="1" ht="15" customHeight="1">
      <c r="B376" s="742"/>
      <c r="C376" s="233" t="s">
        <v>46</v>
      </c>
      <c r="D376" s="234">
        <v>270</v>
      </c>
      <c r="E376" s="235">
        <v>201</v>
      </c>
      <c r="F376" s="230">
        <v>271</v>
      </c>
      <c r="G376" s="235">
        <v>245</v>
      </c>
      <c r="H376" s="235">
        <v>231</v>
      </c>
      <c r="I376" s="235">
        <v>285</v>
      </c>
      <c r="J376" s="235">
        <v>160</v>
      </c>
      <c r="K376" s="235">
        <v>148</v>
      </c>
      <c r="L376" s="235">
        <v>154</v>
      </c>
      <c r="M376" s="235">
        <v>199</v>
      </c>
      <c r="N376" s="235">
        <v>182</v>
      </c>
      <c r="O376" s="235">
        <v>209</v>
      </c>
      <c r="P376" s="232">
        <f t="shared" si="129"/>
        <v>2555</v>
      </c>
    </row>
    <row r="377" spans="2:18" s="14" customFormat="1" ht="15" customHeight="1">
      <c r="B377" s="744"/>
      <c r="C377" s="236" t="s">
        <v>6</v>
      </c>
      <c r="D377" s="237">
        <f t="shared" ref="D377:P377" si="130">SUM(D370:D376)</f>
        <v>15000</v>
      </c>
      <c r="E377" s="237">
        <f t="shared" si="130"/>
        <v>20898</v>
      </c>
      <c r="F377" s="237">
        <f t="shared" si="130"/>
        <v>23581</v>
      </c>
      <c r="G377" s="237">
        <f t="shared" si="130"/>
        <v>20600</v>
      </c>
      <c r="H377" s="237">
        <f t="shared" si="130"/>
        <v>20081</v>
      </c>
      <c r="I377" s="237">
        <f t="shared" si="130"/>
        <v>22495</v>
      </c>
      <c r="J377" s="237">
        <f t="shared" si="130"/>
        <v>18793</v>
      </c>
      <c r="K377" s="237">
        <f t="shared" si="130"/>
        <v>17029</v>
      </c>
      <c r="L377" s="237">
        <f t="shared" si="130"/>
        <v>17430</v>
      </c>
      <c r="M377" s="237">
        <f t="shared" si="130"/>
        <v>18057</v>
      </c>
      <c r="N377" s="237">
        <f t="shared" si="130"/>
        <v>21920</v>
      </c>
      <c r="O377" s="237">
        <f t="shared" si="130"/>
        <v>23331</v>
      </c>
      <c r="P377" s="238">
        <f t="shared" si="130"/>
        <v>239215</v>
      </c>
    </row>
    <row r="378" spans="2:18" s="14" customFormat="1" ht="15" customHeight="1">
      <c r="B378" s="751"/>
      <c r="C378" s="233" t="s">
        <v>29</v>
      </c>
      <c r="D378" s="234">
        <v>191</v>
      </c>
      <c r="E378" s="235">
        <v>218</v>
      </c>
      <c r="F378" s="230">
        <v>270</v>
      </c>
      <c r="G378" s="235">
        <v>186</v>
      </c>
      <c r="H378" s="235">
        <v>207</v>
      </c>
      <c r="I378" s="235">
        <v>314</v>
      </c>
      <c r="J378" s="235">
        <v>220</v>
      </c>
      <c r="K378" s="235">
        <v>340</v>
      </c>
      <c r="L378" s="235">
        <v>266</v>
      </c>
      <c r="M378" s="235">
        <v>366</v>
      </c>
      <c r="N378" s="235">
        <v>307</v>
      </c>
      <c r="O378" s="235">
        <v>360</v>
      </c>
      <c r="P378" s="239">
        <f t="shared" ref="P378:P384" si="131">SUM(D378:O378)</f>
        <v>3245</v>
      </c>
    </row>
    <row r="379" spans="2:18" s="14" customFormat="1" ht="15" customHeight="1">
      <c r="B379" s="751"/>
      <c r="C379" s="233" t="s">
        <v>30</v>
      </c>
      <c r="D379" s="234">
        <v>5820</v>
      </c>
      <c r="E379" s="235">
        <v>3640</v>
      </c>
      <c r="F379" s="230">
        <v>6075</v>
      </c>
      <c r="G379" s="235">
        <v>5490</v>
      </c>
      <c r="H379" s="235">
        <v>5065</v>
      </c>
      <c r="I379" s="235">
        <v>5948</v>
      </c>
      <c r="J379" s="235">
        <v>6773</v>
      </c>
      <c r="K379" s="235">
        <v>4886</v>
      </c>
      <c r="L379" s="235">
        <v>3927</v>
      </c>
      <c r="M379" s="235">
        <v>5344</v>
      </c>
      <c r="N379" s="235">
        <v>7178</v>
      </c>
      <c r="O379" s="235">
        <v>5781</v>
      </c>
      <c r="P379" s="239">
        <f t="shared" si="131"/>
        <v>65927</v>
      </c>
      <c r="R379" s="74"/>
    </row>
    <row r="380" spans="2:18" s="14" customFormat="1" ht="15" customHeight="1">
      <c r="B380" s="751"/>
      <c r="C380" s="229" t="s">
        <v>31</v>
      </c>
      <c r="D380" s="230">
        <v>109</v>
      </c>
      <c r="E380" s="231">
        <v>126</v>
      </c>
      <c r="F380" s="230">
        <v>217</v>
      </c>
      <c r="G380" s="231">
        <v>242</v>
      </c>
      <c r="H380" s="231">
        <v>169</v>
      </c>
      <c r="I380" s="231">
        <v>256</v>
      </c>
      <c r="J380" s="231">
        <v>174</v>
      </c>
      <c r="K380" s="231">
        <v>148</v>
      </c>
      <c r="L380" s="231">
        <v>245</v>
      </c>
      <c r="M380" s="231">
        <v>293</v>
      </c>
      <c r="N380" s="231">
        <v>230</v>
      </c>
      <c r="O380" s="231">
        <v>150</v>
      </c>
      <c r="P380" s="239">
        <f t="shared" si="131"/>
        <v>2359</v>
      </c>
      <c r="R380" s="74"/>
    </row>
    <row r="381" spans="2:18" s="14" customFormat="1" ht="15" customHeight="1">
      <c r="B381" s="751"/>
      <c r="C381" s="229" t="s">
        <v>87</v>
      </c>
      <c r="D381" s="230">
        <v>0</v>
      </c>
      <c r="E381" s="231">
        <v>0</v>
      </c>
      <c r="F381" s="230">
        <v>4</v>
      </c>
      <c r="G381" s="231">
        <v>2440</v>
      </c>
      <c r="H381" s="231">
        <v>2676</v>
      </c>
      <c r="I381" s="231">
        <v>3246</v>
      </c>
      <c r="J381" s="231">
        <v>2242</v>
      </c>
      <c r="K381" s="231">
        <v>1135</v>
      </c>
      <c r="L381" s="231">
        <v>2054</v>
      </c>
      <c r="M381" s="231">
        <v>1668</v>
      </c>
      <c r="N381" s="231">
        <v>1616</v>
      </c>
      <c r="O381" s="231">
        <v>1629</v>
      </c>
      <c r="P381" s="239">
        <f>SUM(D381:O381)</f>
        <v>18710</v>
      </c>
      <c r="R381" s="74"/>
    </row>
    <row r="382" spans="2:18" s="14" customFormat="1" ht="15" customHeight="1">
      <c r="B382" s="751"/>
      <c r="C382" s="229" t="s">
        <v>75</v>
      </c>
      <c r="D382" s="230">
        <v>4754</v>
      </c>
      <c r="E382" s="231">
        <v>3750</v>
      </c>
      <c r="F382" s="230">
        <v>4924</v>
      </c>
      <c r="G382" s="231">
        <v>4548</v>
      </c>
      <c r="H382" s="231">
        <v>4791</v>
      </c>
      <c r="I382" s="231">
        <v>4977</v>
      </c>
      <c r="J382" s="231">
        <v>3007</v>
      </c>
      <c r="K382" s="231">
        <v>3632</v>
      </c>
      <c r="L382" s="231">
        <v>3658</v>
      </c>
      <c r="M382" s="231">
        <v>4064</v>
      </c>
      <c r="N382" s="231">
        <v>3968</v>
      </c>
      <c r="O382" s="231">
        <v>3804</v>
      </c>
      <c r="P382" s="239">
        <f t="shared" si="131"/>
        <v>49877</v>
      </c>
      <c r="R382" s="74"/>
    </row>
    <row r="383" spans="2:18" s="14" customFormat="1" ht="15" customHeight="1">
      <c r="B383" s="751"/>
      <c r="C383" s="229" t="s">
        <v>84</v>
      </c>
      <c r="D383" s="230">
        <v>7567</v>
      </c>
      <c r="E383" s="231">
        <v>5140</v>
      </c>
      <c r="F383" s="230">
        <v>7611</v>
      </c>
      <c r="G383" s="231">
        <v>8256</v>
      </c>
      <c r="H383" s="231">
        <v>7988</v>
      </c>
      <c r="I383" s="231">
        <v>7350</v>
      </c>
      <c r="J383" s="231">
        <v>5483</v>
      </c>
      <c r="K383" s="231">
        <v>4704</v>
      </c>
      <c r="L383" s="231">
        <v>6436</v>
      </c>
      <c r="M383" s="231">
        <v>6525</v>
      </c>
      <c r="N383" s="231">
        <v>6363</v>
      </c>
      <c r="O383" s="231">
        <v>7292</v>
      </c>
      <c r="P383" s="232">
        <f t="shared" si="131"/>
        <v>80715</v>
      </c>
      <c r="R383" s="74"/>
    </row>
    <row r="384" spans="2:18" s="14" customFormat="1" ht="15" customHeight="1">
      <c r="B384" s="751"/>
      <c r="C384" s="233" t="s">
        <v>35</v>
      </c>
      <c r="D384" s="234">
        <v>0</v>
      </c>
      <c r="E384" s="235">
        <v>1054</v>
      </c>
      <c r="F384" s="230">
        <v>1929</v>
      </c>
      <c r="G384" s="235">
        <v>1664</v>
      </c>
      <c r="H384" s="235">
        <v>1382</v>
      </c>
      <c r="I384" s="235">
        <v>1662</v>
      </c>
      <c r="J384" s="235">
        <v>1220</v>
      </c>
      <c r="K384" s="235">
        <v>641</v>
      </c>
      <c r="L384" s="235">
        <v>890</v>
      </c>
      <c r="M384" s="235">
        <v>748</v>
      </c>
      <c r="N384" s="235">
        <v>2066</v>
      </c>
      <c r="O384" s="235">
        <v>1803</v>
      </c>
      <c r="P384" s="232">
        <f t="shared" si="131"/>
        <v>15059</v>
      </c>
    </row>
    <row r="385" spans="2:16" s="14" customFormat="1" ht="15" customHeight="1" thickBot="1">
      <c r="B385" s="752"/>
      <c r="C385" s="236" t="s">
        <v>6</v>
      </c>
      <c r="D385" s="237">
        <f t="shared" ref="D385:P385" si="132">SUM(D378:D384)</f>
        <v>18441</v>
      </c>
      <c r="E385" s="237">
        <f t="shared" si="132"/>
        <v>13928</v>
      </c>
      <c r="F385" s="240">
        <f t="shared" si="132"/>
        <v>21030</v>
      </c>
      <c r="G385" s="237">
        <f t="shared" si="132"/>
        <v>22826</v>
      </c>
      <c r="H385" s="237">
        <f t="shared" si="132"/>
        <v>22278</v>
      </c>
      <c r="I385" s="237">
        <f t="shared" si="132"/>
        <v>23753</v>
      </c>
      <c r="J385" s="237">
        <f t="shared" si="132"/>
        <v>19119</v>
      </c>
      <c r="K385" s="237">
        <f t="shared" si="132"/>
        <v>15486</v>
      </c>
      <c r="L385" s="237">
        <f t="shared" si="132"/>
        <v>17476</v>
      </c>
      <c r="M385" s="237">
        <f t="shared" si="132"/>
        <v>19008</v>
      </c>
      <c r="N385" s="237">
        <f t="shared" si="132"/>
        <v>21728</v>
      </c>
      <c r="O385" s="237">
        <f t="shared" si="132"/>
        <v>20819</v>
      </c>
      <c r="P385" s="238">
        <f t="shared" si="132"/>
        <v>235892</v>
      </c>
    </row>
    <row r="386" spans="2:16" s="14" customFormat="1" ht="15" customHeight="1">
      <c r="B386" s="741" t="s">
        <v>36</v>
      </c>
      <c r="C386" s="241" t="s">
        <v>37</v>
      </c>
      <c r="D386" s="242">
        <v>4847</v>
      </c>
      <c r="E386" s="243">
        <v>4165</v>
      </c>
      <c r="F386" s="244">
        <v>5730</v>
      </c>
      <c r="G386" s="243">
        <v>4921</v>
      </c>
      <c r="H386" s="243">
        <v>5072</v>
      </c>
      <c r="I386" s="243">
        <v>5839</v>
      </c>
      <c r="J386" s="243">
        <v>5796</v>
      </c>
      <c r="K386" s="243">
        <v>4646</v>
      </c>
      <c r="L386" s="243">
        <v>3114</v>
      </c>
      <c r="M386" s="243">
        <v>2654</v>
      </c>
      <c r="N386" s="243">
        <v>4924</v>
      </c>
      <c r="O386" s="243">
        <v>5075</v>
      </c>
      <c r="P386" s="245">
        <f>SUM(D386:O386)</f>
        <v>56783</v>
      </c>
    </row>
    <row r="387" spans="2:16" s="14" customFormat="1" ht="15" customHeight="1">
      <c r="B387" s="742"/>
      <c r="C387" s="246" t="s">
        <v>38</v>
      </c>
      <c r="D387" s="247">
        <v>125</v>
      </c>
      <c r="E387" s="248">
        <v>111</v>
      </c>
      <c r="F387" s="230">
        <v>146</v>
      </c>
      <c r="G387" s="248">
        <v>132</v>
      </c>
      <c r="H387" s="248">
        <v>133</v>
      </c>
      <c r="I387" s="248">
        <v>143</v>
      </c>
      <c r="J387" s="248">
        <v>141</v>
      </c>
      <c r="K387" s="248">
        <v>87</v>
      </c>
      <c r="L387" s="248">
        <v>95</v>
      </c>
      <c r="M387" s="248">
        <v>96</v>
      </c>
      <c r="N387" s="248">
        <v>125</v>
      </c>
      <c r="O387" s="248">
        <v>166</v>
      </c>
      <c r="P387" s="249">
        <f>SUM(D387:O387)</f>
        <v>1500</v>
      </c>
    </row>
    <row r="388" spans="2:16" s="14" customFormat="1" ht="15" customHeight="1">
      <c r="B388" s="742"/>
      <c r="C388" s="246" t="s">
        <v>39</v>
      </c>
      <c r="D388" s="247">
        <v>92</v>
      </c>
      <c r="E388" s="248">
        <v>8</v>
      </c>
      <c r="F388" s="230">
        <v>23</v>
      </c>
      <c r="G388" s="248">
        <v>26</v>
      </c>
      <c r="H388" s="248">
        <v>50</v>
      </c>
      <c r="I388" s="248">
        <v>276</v>
      </c>
      <c r="J388" s="248">
        <v>158</v>
      </c>
      <c r="K388" s="248">
        <v>155</v>
      </c>
      <c r="L388" s="248">
        <v>185</v>
      </c>
      <c r="M388" s="248">
        <v>219</v>
      </c>
      <c r="N388" s="248">
        <v>209</v>
      </c>
      <c r="O388" s="248">
        <v>209</v>
      </c>
      <c r="P388" s="249">
        <f>SUM(D388:O388)</f>
        <v>1610</v>
      </c>
    </row>
    <row r="389" spans="2:16" s="14" customFormat="1" ht="15" customHeight="1" thickBot="1">
      <c r="B389" s="743"/>
      <c r="C389" s="250" t="s">
        <v>6</v>
      </c>
      <c r="D389" s="251">
        <f t="shared" ref="D389:P389" si="133">SUM(D386:D388)</f>
        <v>5064</v>
      </c>
      <c r="E389" s="251">
        <f t="shared" si="133"/>
        <v>4284</v>
      </c>
      <c r="F389" s="251">
        <f t="shared" si="133"/>
        <v>5899</v>
      </c>
      <c r="G389" s="251">
        <f t="shared" si="133"/>
        <v>5079</v>
      </c>
      <c r="H389" s="251">
        <f t="shared" si="133"/>
        <v>5255</v>
      </c>
      <c r="I389" s="251">
        <f t="shared" si="133"/>
        <v>6258</v>
      </c>
      <c r="J389" s="251">
        <f t="shared" si="133"/>
        <v>6095</v>
      </c>
      <c r="K389" s="251">
        <f t="shared" si="133"/>
        <v>4888</v>
      </c>
      <c r="L389" s="251">
        <f t="shared" si="133"/>
        <v>3394</v>
      </c>
      <c r="M389" s="251">
        <f t="shared" si="133"/>
        <v>2969</v>
      </c>
      <c r="N389" s="251">
        <f t="shared" si="133"/>
        <v>5258</v>
      </c>
      <c r="O389" s="251">
        <f t="shared" si="133"/>
        <v>5450</v>
      </c>
      <c r="P389" s="252">
        <f t="shared" si="133"/>
        <v>59893</v>
      </c>
    </row>
    <row r="390" spans="2:16" s="14" customFormat="1" ht="15" customHeight="1" thickBot="1">
      <c r="B390" s="733" t="s">
        <v>40</v>
      </c>
      <c r="C390" s="734"/>
      <c r="D390" s="253">
        <f t="shared" ref="D390:P390" si="134">D377+D385+D389</f>
        <v>38505</v>
      </c>
      <c r="E390" s="253">
        <f t="shared" si="134"/>
        <v>39110</v>
      </c>
      <c r="F390" s="253">
        <f t="shared" si="134"/>
        <v>50510</v>
      </c>
      <c r="G390" s="253">
        <f t="shared" si="134"/>
        <v>48505</v>
      </c>
      <c r="H390" s="253">
        <f t="shared" si="134"/>
        <v>47614</v>
      </c>
      <c r="I390" s="253">
        <f t="shared" si="134"/>
        <v>52506</v>
      </c>
      <c r="J390" s="253">
        <f t="shared" si="134"/>
        <v>44007</v>
      </c>
      <c r="K390" s="253">
        <f t="shared" si="134"/>
        <v>37403</v>
      </c>
      <c r="L390" s="253">
        <f t="shared" si="134"/>
        <v>38300</v>
      </c>
      <c r="M390" s="253">
        <f t="shared" si="134"/>
        <v>40034</v>
      </c>
      <c r="N390" s="253">
        <f t="shared" si="134"/>
        <v>48906</v>
      </c>
      <c r="O390" s="253">
        <f t="shared" si="134"/>
        <v>49600</v>
      </c>
      <c r="P390" s="254">
        <f t="shared" si="134"/>
        <v>535000</v>
      </c>
    </row>
    <row r="391" spans="2:16" s="14" customFormat="1" ht="15" customHeight="1">
      <c r="B391" s="176"/>
      <c r="C391" s="176"/>
      <c r="D391" s="75"/>
      <c r="E391" s="75"/>
      <c r="F391" s="75"/>
      <c r="G391" s="75"/>
      <c r="H391" s="75"/>
      <c r="I391" s="75"/>
      <c r="J391" s="75"/>
      <c r="K391" s="75"/>
      <c r="L391" s="75"/>
      <c r="M391" s="177"/>
      <c r="N391" s="177"/>
      <c r="O391" s="177"/>
      <c r="P391" s="75"/>
    </row>
    <row r="392" spans="2:16" s="14" customFormat="1" ht="15" customHeight="1">
      <c r="B392" s="178" t="s">
        <v>26</v>
      </c>
      <c r="C392" s="179"/>
      <c r="D392" s="180">
        <f t="shared" ref="D392:P392" si="135">D374</f>
        <v>3858</v>
      </c>
      <c r="E392" s="180">
        <f t="shared" si="135"/>
        <v>3615</v>
      </c>
      <c r="F392" s="180">
        <f t="shared" si="135"/>
        <v>4255</v>
      </c>
      <c r="G392" s="180">
        <f t="shared" si="135"/>
        <v>3888</v>
      </c>
      <c r="H392" s="180">
        <f t="shared" si="135"/>
        <v>4516</v>
      </c>
      <c r="I392" s="180">
        <f t="shared" si="135"/>
        <v>4875</v>
      </c>
      <c r="J392" s="180">
        <f t="shared" si="135"/>
        <v>3174</v>
      </c>
      <c r="K392" s="180">
        <f t="shared" si="135"/>
        <v>3217</v>
      </c>
      <c r="L392" s="180">
        <f t="shared" si="135"/>
        <v>3315</v>
      </c>
      <c r="M392" s="180">
        <f t="shared" si="135"/>
        <v>3206</v>
      </c>
      <c r="N392" s="180">
        <f t="shared" si="135"/>
        <v>3326</v>
      </c>
      <c r="O392" s="180">
        <f t="shared" si="135"/>
        <v>3391</v>
      </c>
      <c r="P392" s="180">
        <f t="shared" si="135"/>
        <v>44636</v>
      </c>
    </row>
    <row r="393" spans="2:16" s="14" customFormat="1" ht="15" customHeight="1">
      <c r="B393" s="181"/>
      <c r="C393" s="182" t="s">
        <v>71</v>
      </c>
      <c r="D393" s="183">
        <f>D392-D394</f>
        <v>3315</v>
      </c>
      <c r="E393" s="183">
        <f>E392-E394</f>
        <v>3276</v>
      </c>
      <c r="F393" s="183">
        <f>F392-F394</f>
        <v>3923</v>
      </c>
      <c r="G393" s="183">
        <f>G392-G394</f>
        <v>3569</v>
      </c>
      <c r="H393" s="183">
        <v>4204</v>
      </c>
      <c r="I393" s="183">
        <v>4460</v>
      </c>
      <c r="J393" s="183">
        <f>J392-J394</f>
        <v>2959</v>
      </c>
      <c r="K393" s="183">
        <f>K392-K394</f>
        <v>2967</v>
      </c>
      <c r="L393" s="183">
        <v>3088</v>
      </c>
      <c r="M393" s="183">
        <f>M392-M394</f>
        <v>2936</v>
      </c>
      <c r="N393" s="183">
        <f>N392-N394</f>
        <v>3099</v>
      </c>
      <c r="O393" s="183">
        <v>3067</v>
      </c>
      <c r="P393" s="184">
        <f>SUM(D393:O393)</f>
        <v>40863</v>
      </c>
    </row>
    <row r="394" spans="2:16" s="14" customFormat="1" ht="15" customHeight="1">
      <c r="B394" s="185"/>
      <c r="C394" s="182" t="s">
        <v>90</v>
      </c>
      <c r="D394" s="183">
        <v>543</v>
      </c>
      <c r="E394" s="183">
        <v>339</v>
      </c>
      <c r="F394" s="183">
        <v>332</v>
      </c>
      <c r="G394" s="183">
        <v>319</v>
      </c>
      <c r="H394" s="183">
        <v>312</v>
      </c>
      <c r="I394" s="183">
        <v>415</v>
      </c>
      <c r="J394" s="183">
        <v>215</v>
      </c>
      <c r="K394" s="183">
        <v>250</v>
      </c>
      <c r="L394" s="183">
        <v>228</v>
      </c>
      <c r="M394" s="183">
        <v>270</v>
      </c>
      <c r="N394" s="183">
        <v>227</v>
      </c>
      <c r="O394" s="183">
        <v>325</v>
      </c>
      <c r="P394" s="184">
        <f>SUM(D394:O394)</f>
        <v>3775</v>
      </c>
    </row>
    <row r="395" spans="2:16" s="14" customFormat="1" ht="15" customHeight="1">
      <c r="B395" s="186"/>
      <c r="C395" s="182" t="s">
        <v>92</v>
      </c>
      <c r="D395" s="183">
        <v>0</v>
      </c>
      <c r="E395" s="183">
        <v>0</v>
      </c>
      <c r="F395" s="183">
        <v>0</v>
      </c>
      <c r="G395" s="183">
        <v>0</v>
      </c>
      <c r="H395" s="183">
        <v>0</v>
      </c>
      <c r="I395" s="183">
        <v>0</v>
      </c>
      <c r="J395" s="183">
        <v>0</v>
      </c>
      <c r="K395" s="183">
        <v>0</v>
      </c>
      <c r="L395" s="183">
        <v>-1</v>
      </c>
      <c r="M395" s="183">
        <v>0</v>
      </c>
      <c r="N395" s="183">
        <v>0</v>
      </c>
      <c r="O395" s="183">
        <v>-1</v>
      </c>
      <c r="P395" s="184">
        <f>SUM(D395:O395)</f>
        <v>-2</v>
      </c>
    </row>
    <row r="396" spans="2:16" s="14" customFormat="1" ht="15" customHeight="1">
      <c r="B396" s="187"/>
      <c r="C396" s="188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90"/>
    </row>
    <row r="397" spans="2:16" s="14" customFormat="1" ht="15" customHeight="1">
      <c r="B397" s="178" t="s">
        <v>27</v>
      </c>
      <c r="C397" s="179"/>
      <c r="D397" s="180">
        <f>D375</f>
        <v>1373</v>
      </c>
      <c r="E397" s="180">
        <f>E375</f>
        <v>6046</v>
      </c>
      <c r="F397" s="180">
        <f>F375</f>
        <v>6256</v>
      </c>
      <c r="G397" s="180">
        <f>G375</f>
        <v>5504</v>
      </c>
      <c r="H397" s="180">
        <f>SUM(H398:H400)</f>
        <v>4669</v>
      </c>
      <c r="I397" s="180">
        <f t="shared" ref="I397:P397" si="136">I375</f>
        <v>5042</v>
      </c>
      <c r="J397" s="180">
        <f t="shared" si="136"/>
        <v>5086</v>
      </c>
      <c r="K397" s="180">
        <f t="shared" si="136"/>
        <v>3585</v>
      </c>
      <c r="L397" s="180">
        <f t="shared" si="136"/>
        <v>4353</v>
      </c>
      <c r="M397" s="180">
        <f t="shared" si="136"/>
        <v>3911</v>
      </c>
      <c r="N397" s="180">
        <f t="shared" si="136"/>
        <v>4072</v>
      </c>
      <c r="O397" s="180">
        <f t="shared" si="136"/>
        <v>6163</v>
      </c>
      <c r="P397" s="180">
        <f t="shared" si="136"/>
        <v>56060</v>
      </c>
    </row>
    <row r="398" spans="2:16" s="14" customFormat="1" ht="15" customHeight="1">
      <c r="B398" s="181"/>
      <c r="C398" s="182" t="s">
        <v>85</v>
      </c>
      <c r="D398" s="191">
        <v>270</v>
      </c>
      <c r="E398" s="191">
        <v>4354</v>
      </c>
      <c r="F398" s="191">
        <v>5930</v>
      </c>
      <c r="G398" s="191">
        <v>5496</v>
      </c>
      <c r="H398" s="191">
        <v>4553</v>
      </c>
      <c r="I398" s="191">
        <v>4939</v>
      </c>
      <c r="J398" s="191">
        <v>5017</v>
      </c>
      <c r="K398" s="191">
        <v>3503</v>
      </c>
      <c r="L398" s="191">
        <v>4257</v>
      </c>
      <c r="M398" s="191">
        <f>M397-M400</f>
        <v>3879</v>
      </c>
      <c r="N398" s="191">
        <f>N397-SUM(N399:N401)</f>
        <v>3633</v>
      </c>
      <c r="O398" s="191">
        <f>O397-O401</f>
        <v>5274</v>
      </c>
      <c r="P398" s="184">
        <f>SUM(D398:O398)</f>
        <v>51105</v>
      </c>
    </row>
    <row r="399" spans="2:16" s="14" customFormat="1" ht="15" customHeight="1">
      <c r="B399" s="181"/>
      <c r="C399" s="182" t="s">
        <v>77</v>
      </c>
      <c r="D399" s="183">
        <f>1103-80</f>
        <v>1023</v>
      </c>
      <c r="E399" s="183">
        <v>1581</v>
      </c>
      <c r="F399" s="183">
        <v>24</v>
      </c>
      <c r="G399" s="183">
        <v>4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222">
        <v>-1</v>
      </c>
      <c r="P399" s="184">
        <f>SUM(D399:O399)</f>
        <v>2631</v>
      </c>
    </row>
    <row r="400" spans="2:16" s="14" customFormat="1" ht="15" customHeight="1">
      <c r="B400" s="185"/>
      <c r="C400" s="182" t="s">
        <v>93</v>
      </c>
      <c r="D400" s="183">
        <v>80</v>
      </c>
      <c r="E400" s="183">
        <v>111</v>
      </c>
      <c r="F400" s="183">
        <v>302</v>
      </c>
      <c r="G400" s="183">
        <v>4</v>
      </c>
      <c r="H400" s="183">
        <v>116</v>
      </c>
      <c r="I400" s="183">
        <v>103</v>
      </c>
      <c r="J400" s="183">
        <v>69</v>
      </c>
      <c r="K400" s="183">
        <v>82</v>
      </c>
      <c r="L400" s="183">
        <v>96</v>
      </c>
      <c r="M400" s="183">
        <v>32</v>
      </c>
      <c r="N400" s="183">
        <v>0</v>
      </c>
      <c r="O400" s="183">
        <v>1</v>
      </c>
      <c r="P400" s="184">
        <f>SUM(D400:O400)</f>
        <v>996</v>
      </c>
    </row>
    <row r="401" spans="2:16" s="14" customFormat="1" ht="15" customHeight="1">
      <c r="B401" s="186"/>
      <c r="C401" s="182" t="s">
        <v>96</v>
      </c>
      <c r="D401" s="183">
        <v>0</v>
      </c>
      <c r="E401" s="183">
        <v>0</v>
      </c>
      <c r="F401" s="183">
        <v>0</v>
      </c>
      <c r="G401" s="183">
        <v>0</v>
      </c>
      <c r="H401" s="183">
        <v>0</v>
      </c>
      <c r="I401" s="183">
        <v>0</v>
      </c>
      <c r="J401" s="183">
        <v>0</v>
      </c>
      <c r="K401" s="183">
        <v>0</v>
      </c>
      <c r="L401" s="183">
        <v>0</v>
      </c>
      <c r="M401" s="183">
        <v>0</v>
      </c>
      <c r="N401" s="183">
        <v>439</v>
      </c>
      <c r="O401" s="183">
        <v>889</v>
      </c>
      <c r="P401" s="184">
        <f>SUM(D401:O401)</f>
        <v>1328</v>
      </c>
    </row>
    <row r="402" spans="2:16" s="14" customFormat="1" ht="15" customHeight="1">
      <c r="B402" s="187"/>
      <c r="C402" s="188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90"/>
    </row>
    <row r="403" spans="2:16" s="14" customFormat="1" ht="15" customHeight="1">
      <c r="B403" s="176"/>
      <c r="C403" s="176"/>
      <c r="D403" s="192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6"/>
    </row>
    <row r="404" spans="2:16" s="14" customFormat="1" ht="15" customHeight="1" thickBot="1">
      <c r="B404" s="146" t="s">
        <v>65</v>
      </c>
      <c r="C404" s="146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8"/>
    </row>
    <row r="405" spans="2:16" s="14" customFormat="1" ht="15" customHeight="1" thickBot="1">
      <c r="B405" s="193"/>
      <c r="C405" s="194" t="s">
        <v>88</v>
      </c>
      <c r="D405" s="149">
        <v>1</v>
      </c>
      <c r="E405" s="150">
        <v>2</v>
      </c>
      <c r="F405" s="150">
        <v>3</v>
      </c>
      <c r="G405" s="150">
        <v>4</v>
      </c>
      <c r="H405" s="150">
        <v>5</v>
      </c>
      <c r="I405" s="150">
        <v>6</v>
      </c>
      <c r="J405" s="150">
        <v>7</v>
      </c>
      <c r="K405" s="150">
        <v>8</v>
      </c>
      <c r="L405" s="150">
        <v>9</v>
      </c>
      <c r="M405" s="150">
        <v>10</v>
      </c>
      <c r="N405" s="150">
        <v>11</v>
      </c>
      <c r="O405" s="150">
        <v>12</v>
      </c>
      <c r="P405" s="151" t="s">
        <v>6</v>
      </c>
    </row>
    <row r="406" spans="2:16" s="14" customFormat="1" ht="15" customHeight="1">
      <c r="B406" s="745"/>
      <c r="C406" s="152" t="s">
        <v>22</v>
      </c>
      <c r="D406" s="153">
        <v>5780</v>
      </c>
      <c r="E406" s="154">
        <v>7127</v>
      </c>
      <c r="F406" s="153">
        <v>7936</v>
      </c>
      <c r="G406" s="154">
        <v>7818</v>
      </c>
      <c r="H406" s="154">
        <v>6868</v>
      </c>
      <c r="I406" s="154">
        <v>7109</v>
      </c>
      <c r="J406" s="154">
        <v>7349</v>
      </c>
      <c r="K406" s="154">
        <v>6954</v>
      </c>
      <c r="L406" s="154">
        <v>6870</v>
      </c>
      <c r="M406" s="154">
        <v>6365</v>
      </c>
      <c r="N406" s="154">
        <v>8222</v>
      </c>
      <c r="O406" s="154">
        <v>10057</v>
      </c>
      <c r="P406" s="155">
        <f t="shared" ref="P406:P412" si="137">SUM(D406:O406)</f>
        <v>88455</v>
      </c>
    </row>
    <row r="407" spans="2:16" s="14" customFormat="1" ht="15" customHeight="1">
      <c r="B407" s="746"/>
      <c r="C407" s="152" t="s">
        <v>44</v>
      </c>
      <c r="D407" s="153">
        <v>2032</v>
      </c>
      <c r="E407" s="154">
        <v>1804</v>
      </c>
      <c r="F407" s="153">
        <v>2384</v>
      </c>
      <c r="G407" s="154">
        <v>2364</v>
      </c>
      <c r="H407" s="154">
        <v>2096</v>
      </c>
      <c r="I407" s="154">
        <v>2425</v>
      </c>
      <c r="J407" s="154">
        <v>2345</v>
      </c>
      <c r="K407" s="154">
        <v>1958</v>
      </c>
      <c r="L407" s="154">
        <v>2085</v>
      </c>
      <c r="M407" s="154">
        <v>1855</v>
      </c>
      <c r="N407" s="154">
        <v>2038</v>
      </c>
      <c r="O407" s="154">
        <v>2599</v>
      </c>
      <c r="P407" s="155">
        <f t="shared" si="137"/>
        <v>25985</v>
      </c>
    </row>
    <row r="408" spans="2:16" s="14" customFormat="1" ht="15" customHeight="1">
      <c r="B408" s="746"/>
      <c r="C408" s="156" t="s">
        <v>23</v>
      </c>
      <c r="D408" s="157">
        <v>782</v>
      </c>
      <c r="E408" s="158">
        <v>701</v>
      </c>
      <c r="F408" s="157">
        <v>700</v>
      </c>
      <c r="G408" s="158">
        <v>584</v>
      </c>
      <c r="H408" s="158">
        <v>490</v>
      </c>
      <c r="I408" s="158">
        <v>501</v>
      </c>
      <c r="J408" s="158">
        <v>530</v>
      </c>
      <c r="K408" s="158">
        <v>440</v>
      </c>
      <c r="L408" s="158">
        <v>468</v>
      </c>
      <c r="M408" s="158">
        <v>699</v>
      </c>
      <c r="N408" s="158">
        <v>610</v>
      </c>
      <c r="O408" s="158">
        <v>482</v>
      </c>
      <c r="P408" s="155">
        <f t="shared" si="137"/>
        <v>6987</v>
      </c>
    </row>
    <row r="409" spans="2:16" s="14" customFormat="1" ht="15" customHeight="1">
      <c r="B409" s="746"/>
      <c r="C409" s="152" t="s">
        <v>48</v>
      </c>
      <c r="D409" s="153">
        <v>2356</v>
      </c>
      <c r="E409" s="154">
        <v>3066</v>
      </c>
      <c r="F409" s="153">
        <v>3688</v>
      </c>
      <c r="G409" s="154">
        <v>3688</v>
      </c>
      <c r="H409" s="154">
        <v>3741</v>
      </c>
      <c r="I409" s="154">
        <v>3843</v>
      </c>
      <c r="J409" s="154">
        <v>4605</v>
      </c>
      <c r="K409" s="154">
        <v>3547</v>
      </c>
      <c r="L409" s="154">
        <v>3598</v>
      </c>
      <c r="M409" s="154">
        <v>3414</v>
      </c>
      <c r="N409" s="154">
        <v>3755</v>
      </c>
      <c r="O409" s="154">
        <v>3611</v>
      </c>
      <c r="P409" s="155">
        <f t="shared" si="137"/>
        <v>42912</v>
      </c>
    </row>
    <row r="410" spans="2:16" s="14" customFormat="1" ht="15" customHeight="1">
      <c r="B410" s="746"/>
      <c r="C410" s="152" t="s">
        <v>69</v>
      </c>
      <c r="D410" s="153">
        <v>2754</v>
      </c>
      <c r="E410" s="154">
        <v>2689</v>
      </c>
      <c r="F410" s="153">
        <v>3539</v>
      </c>
      <c r="G410" s="154">
        <v>4291</v>
      </c>
      <c r="H410" s="154">
        <v>3007</v>
      </c>
      <c r="I410" s="154">
        <v>3823</v>
      </c>
      <c r="J410" s="154">
        <v>6447</v>
      </c>
      <c r="K410" s="154">
        <v>5504</v>
      </c>
      <c r="L410" s="154">
        <v>5557</v>
      </c>
      <c r="M410" s="154">
        <v>6000</v>
      </c>
      <c r="N410" s="154">
        <v>6929</v>
      </c>
      <c r="O410" s="154">
        <f>128+7951</f>
        <v>8079</v>
      </c>
      <c r="P410" s="155">
        <f t="shared" si="137"/>
        <v>58619</v>
      </c>
    </row>
    <row r="411" spans="2:16" s="14" customFormat="1" ht="15" customHeight="1">
      <c r="B411" s="746"/>
      <c r="C411" s="152" t="s">
        <v>27</v>
      </c>
      <c r="D411" s="153">
        <v>1565</v>
      </c>
      <c r="E411" s="154">
        <v>1320</v>
      </c>
      <c r="F411" s="153">
        <v>1704</v>
      </c>
      <c r="G411" s="154">
        <v>1628</v>
      </c>
      <c r="H411" s="154">
        <v>1605</v>
      </c>
      <c r="I411" s="154">
        <v>1653</v>
      </c>
      <c r="J411" s="154">
        <v>1901</v>
      </c>
      <c r="K411" s="154">
        <v>1651</v>
      </c>
      <c r="L411" s="154">
        <v>1519</v>
      </c>
      <c r="M411" s="154">
        <v>1771</v>
      </c>
      <c r="N411" s="154">
        <v>2092</v>
      </c>
      <c r="O411" s="154">
        <v>2396</v>
      </c>
      <c r="P411" s="155">
        <f t="shared" si="137"/>
        <v>20805</v>
      </c>
    </row>
    <row r="412" spans="2:16" s="14" customFormat="1" ht="15" customHeight="1">
      <c r="B412" s="746"/>
      <c r="C412" s="156" t="s">
        <v>46</v>
      </c>
      <c r="D412" s="157">
        <v>475</v>
      </c>
      <c r="E412" s="158">
        <v>350</v>
      </c>
      <c r="F412" s="157">
        <v>401</v>
      </c>
      <c r="G412" s="158">
        <v>400</v>
      </c>
      <c r="H412" s="158">
        <v>350</v>
      </c>
      <c r="I412" s="158">
        <v>350</v>
      </c>
      <c r="J412" s="158">
        <v>374</v>
      </c>
      <c r="K412" s="158">
        <v>280</v>
      </c>
      <c r="L412" s="158">
        <v>290</v>
      </c>
      <c r="M412" s="158">
        <v>361</v>
      </c>
      <c r="N412" s="158">
        <v>250</v>
      </c>
      <c r="O412" s="158">
        <v>413</v>
      </c>
      <c r="P412" s="155">
        <f t="shared" si="137"/>
        <v>4294</v>
      </c>
    </row>
    <row r="413" spans="2:16" s="14" customFormat="1" ht="15" customHeight="1">
      <c r="B413" s="750"/>
      <c r="C413" s="159" t="s">
        <v>6</v>
      </c>
      <c r="D413" s="160">
        <f t="shared" ref="D413:P413" si="138">SUM(D406:D412)</f>
        <v>15744</v>
      </c>
      <c r="E413" s="160">
        <f t="shared" si="138"/>
        <v>17057</v>
      </c>
      <c r="F413" s="160">
        <f t="shared" si="138"/>
        <v>20352</v>
      </c>
      <c r="G413" s="160">
        <f t="shared" si="138"/>
        <v>20773</v>
      </c>
      <c r="H413" s="160">
        <f t="shared" si="138"/>
        <v>18157</v>
      </c>
      <c r="I413" s="160">
        <f t="shared" si="138"/>
        <v>19704</v>
      </c>
      <c r="J413" s="160">
        <f t="shared" si="138"/>
        <v>23551</v>
      </c>
      <c r="K413" s="160">
        <f t="shared" si="138"/>
        <v>20334</v>
      </c>
      <c r="L413" s="160">
        <f t="shared" si="138"/>
        <v>20387</v>
      </c>
      <c r="M413" s="160">
        <f t="shared" si="138"/>
        <v>20465</v>
      </c>
      <c r="N413" s="160">
        <f t="shared" si="138"/>
        <v>23896</v>
      </c>
      <c r="O413" s="160">
        <f t="shared" si="138"/>
        <v>27637</v>
      </c>
      <c r="P413" s="161">
        <f t="shared" si="138"/>
        <v>248057</v>
      </c>
    </row>
    <row r="414" spans="2:16" s="14" customFormat="1" ht="15" customHeight="1">
      <c r="B414" s="748"/>
      <c r="C414" s="156" t="s">
        <v>29</v>
      </c>
      <c r="D414" s="157">
        <v>318</v>
      </c>
      <c r="E414" s="158">
        <v>305</v>
      </c>
      <c r="F414" s="158">
        <v>248</v>
      </c>
      <c r="G414" s="158">
        <v>340</v>
      </c>
      <c r="H414" s="158">
        <v>254</v>
      </c>
      <c r="I414" s="158">
        <v>314</v>
      </c>
      <c r="J414" s="158">
        <v>361</v>
      </c>
      <c r="K414" s="158">
        <v>220</v>
      </c>
      <c r="L414" s="158">
        <v>363</v>
      </c>
      <c r="M414" s="158">
        <v>278</v>
      </c>
      <c r="N414" s="158">
        <v>279</v>
      </c>
      <c r="O414" s="158">
        <v>367</v>
      </c>
      <c r="P414" s="162">
        <f t="shared" ref="P414:P421" si="139">SUM(D414:O414)</f>
        <v>3647</v>
      </c>
    </row>
    <row r="415" spans="2:16" s="14" customFormat="1" ht="15" customHeight="1">
      <c r="B415" s="748"/>
      <c r="C415" s="156" t="s">
        <v>60</v>
      </c>
      <c r="D415" s="157">
        <v>0</v>
      </c>
      <c r="E415" s="158">
        <v>0</v>
      </c>
      <c r="F415" s="158">
        <v>0</v>
      </c>
      <c r="G415" s="158">
        <v>0</v>
      </c>
      <c r="H415" s="158">
        <v>0</v>
      </c>
      <c r="I415" s="158">
        <v>0</v>
      </c>
      <c r="J415" s="158">
        <v>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62">
        <f t="shared" si="139"/>
        <v>0</v>
      </c>
    </row>
    <row r="416" spans="2:16" s="14" customFormat="1" ht="15" customHeight="1">
      <c r="B416" s="748"/>
      <c r="C416" s="156" t="s">
        <v>30</v>
      </c>
      <c r="D416" s="157">
        <v>4942</v>
      </c>
      <c r="E416" s="158">
        <v>4600</v>
      </c>
      <c r="F416" s="158">
        <v>5100</v>
      </c>
      <c r="G416" s="158">
        <v>5622</v>
      </c>
      <c r="H416" s="158">
        <v>6019</v>
      </c>
      <c r="I416" s="158">
        <v>6380</v>
      </c>
      <c r="J416" s="158">
        <v>7158</v>
      </c>
      <c r="K416" s="158">
        <v>4132</v>
      </c>
      <c r="L416" s="158">
        <v>6354</v>
      </c>
      <c r="M416" s="158">
        <v>6124</v>
      </c>
      <c r="N416" s="158">
        <v>6303</v>
      </c>
      <c r="O416" s="158">
        <v>4825</v>
      </c>
      <c r="P416" s="162">
        <f t="shared" si="139"/>
        <v>67559</v>
      </c>
    </row>
    <row r="417" spans="2:16" s="14" customFormat="1" ht="15" customHeight="1">
      <c r="B417" s="748"/>
      <c r="C417" s="152" t="s">
        <v>31</v>
      </c>
      <c r="D417" s="153">
        <v>312</v>
      </c>
      <c r="E417" s="154">
        <v>242</v>
      </c>
      <c r="F417" s="154">
        <v>353</v>
      </c>
      <c r="G417" s="154">
        <v>330</v>
      </c>
      <c r="H417" s="154">
        <v>262</v>
      </c>
      <c r="I417" s="154">
        <v>472</v>
      </c>
      <c r="J417" s="154">
        <v>379</v>
      </c>
      <c r="K417" s="154">
        <v>332</v>
      </c>
      <c r="L417" s="154">
        <v>371</v>
      </c>
      <c r="M417" s="154">
        <v>297</v>
      </c>
      <c r="N417" s="154">
        <v>260</v>
      </c>
      <c r="O417" s="154">
        <v>315</v>
      </c>
      <c r="P417" s="162">
        <f t="shared" si="139"/>
        <v>3925</v>
      </c>
    </row>
    <row r="418" spans="2:16" s="14" customFormat="1" ht="15" customHeight="1">
      <c r="B418" s="748"/>
      <c r="C418" s="152" t="s">
        <v>75</v>
      </c>
      <c r="D418" s="153">
        <v>2911</v>
      </c>
      <c r="E418" s="154">
        <v>2356</v>
      </c>
      <c r="F418" s="154">
        <v>2994</v>
      </c>
      <c r="G418" s="154">
        <v>3024</v>
      </c>
      <c r="H418" s="154">
        <v>2902</v>
      </c>
      <c r="I418" s="154">
        <v>3047</v>
      </c>
      <c r="J418" s="154">
        <v>3254</v>
      </c>
      <c r="K418" s="154">
        <v>4339</v>
      </c>
      <c r="L418" s="154">
        <v>3666</v>
      </c>
      <c r="M418" s="154">
        <v>7586</v>
      </c>
      <c r="N418" s="154">
        <v>7128</v>
      </c>
      <c r="O418" s="154">
        <v>9541</v>
      </c>
      <c r="P418" s="162">
        <f t="shared" si="139"/>
        <v>52748</v>
      </c>
    </row>
    <row r="419" spans="2:16" s="14" customFormat="1" ht="15" customHeight="1">
      <c r="B419" s="748"/>
      <c r="C419" s="152" t="s">
        <v>63</v>
      </c>
      <c r="D419" s="153">
        <v>0</v>
      </c>
      <c r="E419" s="154">
        <v>0</v>
      </c>
      <c r="F419" s="154">
        <v>0</v>
      </c>
      <c r="G419" s="154">
        <v>0</v>
      </c>
      <c r="H419" s="154">
        <v>0</v>
      </c>
      <c r="I419" s="154">
        <v>0</v>
      </c>
      <c r="J419" s="154">
        <v>0</v>
      </c>
      <c r="K419" s="154">
        <v>0</v>
      </c>
      <c r="L419" s="154">
        <v>0</v>
      </c>
      <c r="M419" s="154">
        <v>0</v>
      </c>
      <c r="N419" s="154">
        <v>0</v>
      </c>
      <c r="O419" s="154">
        <v>0</v>
      </c>
      <c r="P419" s="155">
        <f t="shared" si="139"/>
        <v>0</v>
      </c>
    </row>
    <row r="420" spans="2:16" s="14" customFormat="1" ht="15" customHeight="1">
      <c r="B420" s="748"/>
      <c r="C420" s="152" t="s">
        <v>83</v>
      </c>
      <c r="D420" s="153">
        <v>6338</v>
      </c>
      <c r="E420" s="154">
        <v>5728</v>
      </c>
      <c r="F420" s="154">
        <v>6921</v>
      </c>
      <c r="G420" s="154">
        <v>6159</v>
      </c>
      <c r="H420" s="154">
        <v>6509</v>
      </c>
      <c r="I420" s="154">
        <v>7212</v>
      </c>
      <c r="J420" s="154">
        <v>6331</v>
      </c>
      <c r="K420" s="154">
        <v>6311</v>
      </c>
      <c r="L420" s="154">
        <v>7130</v>
      </c>
      <c r="M420" s="154">
        <v>5954</v>
      </c>
      <c r="N420" s="154">
        <v>6974</v>
      </c>
      <c r="O420" s="154">
        <v>6201</v>
      </c>
      <c r="P420" s="155">
        <f t="shared" si="139"/>
        <v>77768</v>
      </c>
    </row>
    <row r="421" spans="2:16" s="14" customFormat="1" ht="15" customHeight="1">
      <c r="B421" s="748"/>
      <c r="C421" s="156" t="s">
        <v>35</v>
      </c>
      <c r="D421" s="157">
        <v>1100</v>
      </c>
      <c r="E421" s="158">
        <v>900</v>
      </c>
      <c r="F421" s="158">
        <v>1007</v>
      </c>
      <c r="G421" s="158">
        <v>1158</v>
      </c>
      <c r="H421" s="158">
        <v>1121</v>
      </c>
      <c r="I421" s="158">
        <v>1198</v>
      </c>
      <c r="J421" s="158">
        <v>1056</v>
      </c>
      <c r="K421" s="158">
        <v>861</v>
      </c>
      <c r="L421" s="158">
        <v>268</v>
      </c>
      <c r="M421" s="158">
        <v>4</v>
      </c>
      <c r="N421" s="158">
        <v>0</v>
      </c>
      <c r="O421" s="158">
        <v>0</v>
      </c>
      <c r="P421" s="155">
        <f t="shared" si="139"/>
        <v>8673</v>
      </c>
    </row>
    <row r="422" spans="2:16" s="14" customFormat="1" ht="15" customHeight="1" thickBot="1">
      <c r="B422" s="749"/>
      <c r="C422" s="159" t="s">
        <v>6</v>
      </c>
      <c r="D422" s="160">
        <f t="shared" ref="D422:P422" si="140">SUM(D414:D421)</f>
        <v>15921</v>
      </c>
      <c r="E422" s="160">
        <f t="shared" si="140"/>
        <v>14131</v>
      </c>
      <c r="F422" s="160">
        <f t="shared" si="140"/>
        <v>16623</v>
      </c>
      <c r="G422" s="160">
        <f t="shared" si="140"/>
        <v>16633</v>
      </c>
      <c r="H422" s="160">
        <f t="shared" si="140"/>
        <v>17067</v>
      </c>
      <c r="I422" s="160">
        <f t="shared" si="140"/>
        <v>18623</v>
      </c>
      <c r="J422" s="160">
        <f t="shared" si="140"/>
        <v>18539</v>
      </c>
      <c r="K422" s="160">
        <f t="shared" si="140"/>
        <v>16195</v>
      </c>
      <c r="L422" s="160">
        <f t="shared" si="140"/>
        <v>18152</v>
      </c>
      <c r="M422" s="160">
        <f t="shared" si="140"/>
        <v>20243</v>
      </c>
      <c r="N422" s="160">
        <f t="shared" si="140"/>
        <v>20944</v>
      </c>
      <c r="O422" s="160">
        <f t="shared" si="140"/>
        <v>21249</v>
      </c>
      <c r="P422" s="161">
        <f t="shared" si="140"/>
        <v>214320</v>
      </c>
    </row>
    <row r="423" spans="2:16" s="14" customFormat="1" ht="15" customHeight="1">
      <c r="B423" s="745" t="s">
        <v>36</v>
      </c>
      <c r="C423" s="163" t="s">
        <v>37</v>
      </c>
      <c r="D423" s="164">
        <v>4982</v>
      </c>
      <c r="E423" s="165">
        <v>4096</v>
      </c>
      <c r="F423" s="165">
        <v>5162</v>
      </c>
      <c r="G423" s="165">
        <v>5499</v>
      </c>
      <c r="H423" s="165">
        <v>4660</v>
      </c>
      <c r="I423" s="165">
        <v>6013</v>
      </c>
      <c r="J423" s="165">
        <v>5720</v>
      </c>
      <c r="K423" s="165">
        <v>4882</v>
      </c>
      <c r="L423" s="165">
        <v>6157</v>
      </c>
      <c r="M423" s="165">
        <v>5673</v>
      </c>
      <c r="N423" s="165">
        <v>4828</v>
      </c>
      <c r="O423" s="165">
        <v>4191</v>
      </c>
      <c r="P423" s="166">
        <f>SUM(D423:O423)</f>
        <v>61863</v>
      </c>
    </row>
    <row r="424" spans="2:16" s="14" customFormat="1" ht="15" customHeight="1">
      <c r="B424" s="746"/>
      <c r="C424" s="167" t="s">
        <v>38</v>
      </c>
      <c r="D424" s="168">
        <v>131</v>
      </c>
      <c r="E424" s="169">
        <v>119</v>
      </c>
      <c r="F424" s="169">
        <v>154</v>
      </c>
      <c r="G424" s="169">
        <v>145</v>
      </c>
      <c r="H424" s="169">
        <v>123</v>
      </c>
      <c r="I424" s="169">
        <v>157</v>
      </c>
      <c r="J424" s="169">
        <v>157</v>
      </c>
      <c r="K424" s="169">
        <v>112</v>
      </c>
      <c r="L424" s="169">
        <v>120</v>
      </c>
      <c r="M424" s="169">
        <v>127</v>
      </c>
      <c r="N424" s="169">
        <v>156</v>
      </c>
      <c r="O424" s="169">
        <v>130</v>
      </c>
      <c r="P424" s="170">
        <f>SUM(D424:O424)</f>
        <v>1631</v>
      </c>
    </row>
    <row r="425" spans="2:16" s="14" customFormat="1" ht="15" customHeight="1">
      <c r="B425" s="746"/>
      <c r="C425" s="167" t="s">
        <v>39</v>
      </c>
      <c r="D425" s="168">
        <v>24</v>
      </c>
      <c r="E425" s="169">
        <v>2</v>
      </c>
      <c r="F425" s="169">
        <v>14</v>
      </c>
      <c r="G425" s="169">
        <v>0</v>
      </c>
      <c r="H425" s="169">
        <v>3</v>
      </c>
      <c r="I425" s="169">
        <v>513</v>
      </c>
      <c r="J425" s="169">
        <v>235</v>
      </c>
      <c r="K425" s="169">
        <v>217</v>
      </c>
      <c r="L425" s="169">
        <v>194</v>
      </c>
      <c r="M425" s="169">
        <v>97</v>
      </c>
      <c r="N425" s="169">
        <v>207</v>
      </c>
      <c r="O425" s="169">
        <v>123</v>
      </c>
      <c r="P425" s="170">
        <f>SUM(D425:O425)</f>
        <v>1629</v>
      </c>
    </row>
    <row r="426" spans="2:16" s="14" customFormat="1" ht="15" customHeight="1" thickBot="1">
      <c r="B426" s="747"/>
      <c r="C426" s="171" t="s">
        <v>6</v>
      </c>
      <c r="D426" s="172">
        <f t="shared" ref="D426:P426" si="141">SUM(D423:D425)</f>
        <v>5137</v>
      </c>
      <c r="E426" s="172">
        <f t="shared" si="141"/>
        <v>4217</v>
      </c>
      <c r="F426" s="172">
        <f t="shared" si="141"/>
        <v>5330</v>
      </c>
      <c r="G426" s="172">
        <f t="shared" si="141"/>
        <v>5644</v>
      </c>
      <c r="H426" s="172">
        <f t="shared" si="141"/>
        <v>4786</v>
      </c>
      <c r="I426" s="172">
        <f t="shared" si="141"/>
        <v>6683</v>
      </c>
      <c r="J426" s="172">
        <f t="shared" si="141"/>
        <v>6112</v>
      </c>
      <c r="K426" s="172">
        <f t="shared" si="141"/>
        <v>5211</v>
      </c>
      <c r="L426" s="172">
        <f t="shared" si="141"/>
        <v>6471</v>
      </c>
      <c r="M426" s="172">
        <f t="shared" si="141"/>
        <v>5897</v>
      </c>
      <c r="N426" s="172">
        <f t="shared" si="141"/>
        <v>5191</v>
      </c>
      <c r="O426" s="172">
        <f t="shared" si="141"/>
        <v>4444</v>
      </c>
      <c r="P426" s="173">
        <f t="shared" si="141"/>
        <v>65123</v>
      </c>
    </row>
    <row r="427" spans="2:16" s="14" customFormat="1" ht="15" customHeight="1" thickBot="1">
      <c r="B427" s="739" t="s">
        <v>40</v>
      </c>
      <c r="C427" s="740"/>
      <c r="D427" s="174">
        <f t="shared" ref="D427:P427" si="142">D413+D422+D426</f>
        <v>36802</v>
      </c>
      <c r="E427" s="174">
        <f t="shared" si="142"/>
        <v>35405</v>
      </c>
      <c r="F427" s="174">
        <f t="shared" si="142"/>
        <v>42305</v>
      </c>
      <c r="G427" s="174">
        <f t="shared" si="142"/>
        <v>43050</v>
      </c>
      <c r="H427" s="174">
        <f t="shared" si="142"/>
        <v>40010</v>
      </c>
      <c r="I427" s="174">
        <f t="shared" si="142"/>
        <v>45010</v>
      </c>
      <c r="J427" s="174">
        <f t="shared" si="142"/>
        <v>48202</v>
      </c>
      <c r="K427" s="174">
        <f t="shared" si="142"/>
        <v>41740</v>
      </c>
      <c r="L427" s="174">
        <f t="shared" si="142"/>
        <v>45010</v>
      </c>
      <c r="M427" s="174">
        <f t="shared" si="142"/>
        <v>46605</v>
      </c>
      <c r="N427" s="174">
        <f t="shared" si="142"/>
        <v>50031</v>
      </c>
      <c r="O427" s="174">
        <f t="shared" si="142"/>
        <v>53330</v>
      </c>
      <c r="P427" s="175">
        <f t="shared" si="142"/>
        <v>527500</v>
      </c>
    </row>
    <row r="428" spans="2:16" s="14" customFormat="1" ht="15" customHeight="1">
      <c r="B428" s="75"/>
      <c r="C428" s="75"/>
      <c r="D428" s="75">
        <f t="shared" ref="D428:J428" si="143">D427/D467-1</f>
        <v>8.2411764705882407E-2</v>
      </c>
      <c r="E428" s="75">
        <f t="shared" si="143"/>
        <v>1.1571428571428566E-2</v>
      </c>
      <c r="F428" s="75">
        <f t="shared" si="143"/>
        <v>8.4604537879759079E-2</v>
      </c>
      <c r="G428" s="75">
        <f t="shared" si="143"/>
        <v>0.10370465324958333</v>
      </c>
      <c r="H428" s="75">
        <f t="shared" si="143"/>
        <v>0.10366324616572875</v>
      </c>
      <c r="I428" s="75">
        <f t="shared" si="143"/>
        <v>0.26781589769590441</v>
      </c>
      <c r="J428" s="75">
        <f t="shared" si="143"/>
        <v>0.13939250679588699</v>
      </c>
      <c r="K428" s="75">
        <f>K427/K467-1</f>
        <v>0.15934783212510073</v>
      </c>
      <c r="L428" s="75">
        <f>L427/L467-1</f>
        <v>0.16591115140525847</v>
      </c>
      <c r="M428" s="75">
        <f>M427/M467-1</f>
        <v>0.25942440210782336</v>
      </c>
      <c r="N428" s="75">
        <f>N427/N467-1</f>
        <v>0.12429213483146073</v>
      </c>
      <c r="O428" s="75">
        <f>O427/O467-1</f>
        <v>0.11062518222333284</v>
      </c>
      <c r="P428" s="75"/>
    </row>
    <row r="429" spans="2:16" s="14" customFormat="1" ht="15" customHeight="1">
      <c r="B429" s="178" t="s">
        <v>72</v>
      </c>
      <c r="C429" s="179"/>
      <c r="D429" s="180">
        <f>D410</f>
        <v>2754</v>
      </c>
      <c r="E429" s="180">
        <f t="shared" ref="E429:O429" si="144">E410</f>
        <v>2689</v>
      </c>
      <c r="F429" s="180">
        <f t="shared" si="144"/>
        <v>3539</v>
      </c>
      <c r="G429" s="180">
        <f t="shared" si="144"/>
        <v>4291</v>
      </c>
      <c r="H429" s="180">
        <f t="shared" si="144"/>
        <v>3007</v>
      </c>
      <c r="I429" s="180">
        <f t="shared" si="144"/>
        <v>3823</v>
      </c>
      <c r="J429" s="180">
        <f t="shared" si="144"/>
        <v>6447</v>
      </c>
      <c r="K429" s="180">
        <f t="shared" si="144"/>
        <v>5504</v>
      </c>
      <c r="L429" s="180">
        <f t="shared" si="144"/>
        <v>5557</v>
      </c>
      <c r="M429" s="180">
        <f t="shared" si="144"/>
        <v>6000</v>
      </c>
      <c r="N429" s="180">
        <f t="shared" si="144"/>
        <v>6929</v>
      </c>
      <c r="O429" s="180">
        <f t="shared" si="144"/>
        <v>8079</v>
      </c>
      <c r="P429" s="180">
        <f>P410</f>
        <v>58619</v>
      </c>
    </row>
    <row r="430" spans="2:16" s="14" customFormat="1" ht="15" customHeight="1">
      <c r="B430" s="181"/>
      <c r="C430" s="182" t="s">
        <v>70</v>
      </c>
      <c r="D430" s="183">
        <v>2365</v>
      </c>
      <c r="E430" s="183">
        <v>2441</v>
      </c>
      <c r="F430" s="183">
        <v>3326</v>
      </c>
      <c r="G430" s="183">
        <v>3984</v>
      </c>
      <c r="H430" s="183">
        <v>2736</v>
      </c>
      <c r="I430" s="183">
        <v>3610</v>
      </c>
      <c r="J430" s="183">
        <v>1989</v>
      </c>
      <c r="K430" s="183">
        <v>411</v>
      </c>
      <c r="L430" s="183">
        <v>420</v>
      </c>
      <c r="M430" s="183">
        <v>115</v>
      </c>
      <c r="N430" s="183">
        <v>134</v>
      </c>
      <c r="O430" s="183">
        <v>128</v>
      </c>
      <c r="P430" s="184">
        <f>SUM(D430:O430)</f>
        <v>21659</v>
      </c>
    </row>
    <row r="431" spans="2:16" s="14" customFormat="1" ht="15" customHeight="1">
      <c r="B431" s="181"/>
      <c r="C431" s="182" t="s">
        <v>94</v>
      </c>
      <c r="D431" s="183">
        <v>389</v>
      </c>
      <c r="E431" s="183">
        <v>248</v>
      </c>
      <c r="F431" s="183">
        <v>213</v>
      </c>
      <c r="G431" s="183">
        <v>307</v>
      </c>
      <c r="H431" s="183">
        <v>271</v>
      </c>
      <c r="I431" s="183">
        <v>213</v>
      </c>
      <c r="J431" s="183">
        <v>273</v>
      </c>
      <c r="K431" s="183">
        <v>159</v>
      </c>
      <c r="L431" s="183">
        <v>364</v>
      </c>
      <c r="M431" s="183">
        <v>350</v>
      </c>
      <c r="N431" s="183">
        <v>0</v>
      </c>
      <c r="O431" s="183">
        <v>0</v>
      </c>
      <c r="P431" s="184">
        <f>SUM(D431:O431)</f>
        <v>2787</v>
      </c>
    </row>
    <row r="432" spans="2:16" s="14" customFormat="1" ht="15" customHeight="1">
      <c r="B432" s="181"/>
      <c r="C432" s="182" t="s">
        <v>71</v>
      </c>
      <c r="D432" s="183">
        <v>0</v>
      </c>
      <c r="E432" s="183">
        <v>0</v>
      </c>
      <c r="F432" s="183">
        <v>0</v>
      </c>
      <c r="G432" s="183">
        <v>0</v>
      </c>
      <c r="H432" s="183">
        <v>0</v>
      </c>
      <c r="I432" s="183">
        <v>0</v>
      </c>
      <c r="J432" s="183">
        <v>4185</v>
      </c>
      <c r="K432" s="183">
        <v>4934</v>
      </c>
      <c r="L432" s="183">
        <v>4773</v>
      </c>
      <c r="M432" s="183">
        <v>5535</v>
      </c>
      <c r="N432" s="183">
        <f>6795-183</f>
        <v>6612</v>
      </c>
      <c r="O432" s="183">
        <f>7951-481</f>
        <v>7470</v>
      </c>
      <c r="P432" s="184">
        <f>SUM(D432:O432)</f>
        <v>33509</v>
      </c>
    </row>
    <row r="433" spans="2:16" s="14" customFormat="1" ht="15" customHeight="1">
      <c r="B433" s="186"/>
      <c r="C433" s="182" t="s">
        <v>95</v>
      </c>
      <c r="D433" s="183">
        <v>0</v>
      </c>
      <c r="E433" s="183">
        <v>0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0</v>
      </c>
      <c r="M433" s="183">
        <v>0</v>
      </c>
      <c r="N433" s="183">
        <v>183</v>
      </c>
      <c r="O433" s="183">
        <v>481</v>
      </c>
      <c r="P433" s="184">
        <f>SUM(D433:O433)</f>
        <v>664</v>
      </c>
    </row>
    <row r="434" spans="2:16" s="14" customFormat="1" ht="15" customHeight="1">
      <c r="B434" s="187"/>
      <c r="C434" s="188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90"/>
    </row>
    <row r="435" spans="2:16" s="14" customFormat="1" ht="15" customHeight="1">
      <c r="B435" s="178" t="s">
        <v>27</v>
      </c>
      <c r="C435" s="179"/>
      <c r="D435" s="180">
        <f t="shared" ref="D435:P435" si="145">D411</f>
        <v>1565</v>
      </c>
      <c r="E435" s="180">
        <f t="shared" si="145"/>
        <v>1320</v>
      </c>
      <c r="F435" s="180">
        <f t="shared" si="145"/>
        <v>1704</v>
      </c>
      <c r="G435" s="180">
        <f t="shared" si="145"/>
        <v>1628</v>
      </c>
      <c r="H435" s="180">
        <f t="shared" si="145"/>
        <v>1605</v>
      </c>
      <c r="I435" s="180">
        <f t="shared" si="145"/>
        <v>1653</v>
      </c>
      <c r="J435" s="180">
        <f t="shared" si="145"/>
        <v>1901</v>
      </c>
      <c r="K435" s="180">
        <f t="shared" si="145"/>
        <v>1651</v>
      </c>
      <c r="L435" s="180">
        <f t="shared" si="145"/>
        <v>1519</v>
      </c>
      <c r="M435" s="180">
        <f t="shared" si="145"/>
        <v>1771</v>
      </c>
      <c r="N435" s="180">
        <f t="shared" si="145"/>
        <v>2092</v>
      </c>
      <c r="O435" s="180">
        <f t="shared" si="145"/>
        <v>2396</v>
      </c>
      <c r="P435" s="180">
        <f t="shared" si="145"/>
        <v>20805</v>
      </c>
    </row>
    <row r="436" spans="2:16" s="14" customFormat="1" ht="15" customHeight="1">
      <c r="B436" s="181"/>
      <c r="C436" s="182" t="s">
        <v>77</v>
      </c>
      <c r="D436" s="183">
        <v>1176</v>
      </c>
      <c r="E436" s="183">
        <v>1168</v>
      </c>
      <c r="F436" s="183">
        <v>1497</v>
      </c>
      <c r="G436" s="183">
        <v>1342</v>
      </c>
      <c r="H436" s="183">
        <v>1375</v>
      </c>
      <c r="I436" s="183">
        <v>1446</v>
      </c>
      <c r="J436" s="183">
        <v>1614</v>
      </c>
      <c r="K436" s="183">
        <v>1434</v>
      </c>
      <c r="L436" s="183">
        <v>1312</v>
      </c>
      <c r="M436" s="183">
        <v>1527</v>
      </c>
      <c r="N436" s="183">
        <v>1774</v>
      </c>
      <c r="O436" s="183">
        <f>O435-O437</f>
        <v>1995</v>
      </c>
      <c r="P436" s="184">
        <f>SUM(D436:O436)</f>
        <v>17660</v>
      </c>
    </row>
    <row r="437" spans="2:16" s="14" customFormat="1" ht="15" customHeight="1">
      <c r="B437" s="186"/>
      <c r="C437" s="182" t="s">
        <v>93</v>
      </c>
      <c r="D437" s="183">
        <v>298</v>
      </c>
      <c r="E437" s="183">
        <v>152</v>
      </c>
      <c r="F437" s="183">
        <v>207</v>
      </c>
      <c r="G437" s="183">
        <v>286</v>
      </c>
      <c r="H437" s="183">
        <v>230</v>
      </c>
      <c r="I437" s="183">
        <v>207</v>
      </c>
      <c r="J437" s="183">
        <v>287</v>
      </c>
      <c r="K437" s="183">
        <v>217</v>
      </c>
      <c r="L437" s="183">
        <v>207</v>
      </c>
      <c r="M437" s="183">
        <v>244</v>
      </c>
      <c r="N437" s="183">
        <v>318</v>
      </c>
      <c r="O437" s="183">
        <v>401</v>
      </c>
      <c r="P437" s="184">
        <f>SUM(D437:O437)</f>
        <v>3054</v>
      </c>
    </row>
    <row r="438" spans="2:16" s="14" customFormat="1" ht="15" customHeight="1">
      <c r="B438" s="187"/>
      <c r="C438" s="188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90"/>
    </row>
    <row r="439" spans="2:16" s="14" customFormat="1" ht="15" customHeight="1">
      <c r="B439" s="178" t="s">
        <v>73</v>
      </c>
      <c r="C439" s="179"/>
      <c r="D439" s="180">
        <f t="shared" ref="D439:P439" si="146">D418</f>
        <v>2911</v>
      </c>
      <c r="E439" s="180">
        <f t="shared" si="146"/>
        <v>2356</v>
      </c>
      <c r="F439" s="180">
        <f t="shared" si="146"/>
        <v>2994</v>
      </c>
      <c r="G439" s="180">
        <f t="shared" si="146"/>
        <v>3024</v>
      </c>
      <c r="H439" s="180">
        <f t="shared" si="146"/>
        <v>2902</v>
      </c>
      <c r="I439" s="180">
        <f t="shared" si="146"/>
        <v>3047</v>
      </c>
      <c r="J439" s="180">
        <f t="shared" si="146"/>
        <v>3254</v>
      </c>
      <c r="K439" s="180">
        <f t="shared" si="146"/>
        <v>4339</v>
      </c>
      <c r="L439" s="180">
        <f t="shared" si="146"/>
        <v>3666</v>
      </c>
      <c r="M439" s="180">
        <f t="shared" si="146"/>
        <v>7586</v>
      </c>
      <c r="N439" s="180">
        <f t="shared" si="146"/>
        <v>7128</v>
      </c>
      <c r="O439" s="180">
        <f t="shared" si="146"/>
        <v>9541</v>
      </c>
      <c r="P439" s="180">
        <f t="shared" si="146"/>
        <v>52748</v>
      </c>
    </row>
    <row r="440" spans="2:16" s="14" customFormat="1" ht="15" customHeight="1">
      <c r="B440" s="181"/>
      <c r="C440" s="182" t="s">
        <v>76</v>
      </c>
      <c r="D440" s="183">
        <v>2911</v>
      </c>
      <c r="E440" s="183">
        <v>2356</v>
      </c>
      <c r="F440" s="183">
        <v>2994</v>
      </c>
      <c r="G440" s="183">
        <v>3024</v>
      </c>
      <c r="H440" s="183">
        <v>2902</v>
      </c>
      <c r="I440" s="183">
        <v>3047</v>
      </c>
      <c r="J440" s="183">
        <v>3254</v>
      </c>
      <c r="K440" s="183">
        <v>4339</v>
      </c>
      <c r="L440" s="183">
        <v>361</v>
      </c>
      <c r="M440" s="183">
        <v>1</v>
      </c>
      <c r="N440" s="183">
        <v>0</v>
      </c>
      <c r="O440" s="183">
        <v>0</v>
      </c>
      <c r="P440" s="184">
        <f>SUM(D440:O440)</f>
        <v>25189</v>
      </c>
    </row>
    <row r="441" spans="2:16" s="14" customFormat="1" ht="15" customHeight="1">
      <c r="B441" s="186"/>
      <c r="C441" s="182" t="s">
        <v>74</v>
      </c>
      <c r="D441" s="183">
        <v>0</v>
      </c>
      <c r="E441" s="183">
        <v>0</v>
      </c>
      <c r="F441" s="183">
        <v>0</v>
      </c>
      <c r="G441" s="183">
        <v>0</v>
      </c>
      <c r="H441" s="183">
        <v>0</v>
      </c>
      <c r="I441" s="183">
        <v>0</v>
      </c>
      <c r="J441" s="183">
        <v>0</v>
      </c>
      <c r="K441" s="183">
        <v>0</v>
      </c>
      <c r="L441" s="183">
        <v>3305</v>
      </c>
      <c r="M441" s="183">
        <v>7585</v>
      </c>
      <c r="N441" s="183">
        <v>7128</v>
      </c>
      <c r="O441" s="183">
        <v>9541</v>
      </c>
      <c r="P441" s="184">
        <f>SUM(D441:O441)</f>
        <v>27559</v>
      </c>
    </row>
    <row r="442" spans="2:16" s="14" customFormat="1" ht="15" customHeight="1"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2:16" s="14" customFormat="1" ht="15" customHeight="1"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2:16" s="14" customFormat="1" ht="15" customHeight="1" thickBot="1">
      <c r="B444" s="16" t="s">
        <v>58</v>
      </c>
      <c r="C444" s="16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8"/>
    </row>
    <row r="445" spans="2:16" s="14" customFormat="1" ht="15" customHeight="1" thickBot="1">
      <c r="B445" s="735" t="s">
        <v>19</v>
      </c>
      <c r="C445" s="736"/>
      <c r="D445" s="19">
        <v>1</v>
      </c>
      <c r="E445" s="20">
        <v>2</v>
      </c>
      <c r="F445" s="20">
        <v>3</v>
      </c>
      <c r="G445" s="20">
        <v>4</v>
      </c>
      <c r="H445" s="20">
        <v>5</v>
      </c>
      <c r="I445" s="20">
        <v>6</v>
      </c>
      <c r="J445" s="20">
        <v>7</v>
      </c>
      <c r="K445" s="20">
        <v>8</v>
      </c>
      <c r="L445" s="20">
        <v>9</v>
      </c>
      <c r="M445" s="20">
        <v>10</v>
      </c>
      <c r="N445" s="20">
        <v>11</v>
      </c>
      <c r="O445" s="20">
        <v>12</v>
      </c>
      <c r="P445" s="21" t="s">
        <v>6</v>
      </c>
    </row>
    <row r="446" spans="2:16" s="14" customFormat="1" ht="15" customHeight="1">
      <c r="B446" s="716"/>
      <c r="C446" s="26" t="s">
        <v>22</v>
      </c>
      <c r="D446" s="27">
        <v>6235</v>
      </c>
      <c r="E446" s="28">
        <v>7165</v>
      </c>
      <c r="F446" s="27">
        <v>9169</v>
      </c>
      <c r="G446" s="28">
        <v>8081</v>
      </c>
      <c r="H446" s="28">
        <v>8808</v>
      </c>
      <c r="I446" s="28">
        <v>7301</v>
      </c>
      <c r="J446" s="28">
        <v>6976</v>
      </c>
      <c r="K446" s="28">
        <v>7253</v>
      </c>
      <c r="L446" s="28">
        <v>6757</v>
      </c>
      <c r="M446" s="28">
        <v>9101</v>
      </c>
      <c r="N446" s="28">
        <v>9347</v>
      </c>
      <c r="O446" s="28">
        <v>9896</v>
      </c>
      <c r="P446" s="29">
        <f t="shared" ref="P446:P452" si="147">SUM(D446:O446)</f>
        <v>96089</v>
      </c>
    </row>
    <row r="447" spans="2:16" s="14" customFormat="1" ht="15" customHeight="1">
      <c r="B447" s="717"/>
      <c r="C447" s="26" t="s">
        <v>44</v>
      </c>
      <c r="D447" s="27">
        <v>3151</v>
      </c>
      <c r="E447" s="28">
        <v>2473</v>
      </c>
      <c r="F447" s="27">
        <v>2889</v>
      </c>
      <c r="G447" s="28">
        <v>3672</v>
      </c>
      <c r="H447" s="28">
        <v>2457</v>
      </c>
      <c r="I447" s="28">
        <v>2342</v>
      </c>
      <c r="J447" s="28">
        <v>2410</v>
      </c>
      <c r="K447" s="28">
        <v>2327</v>
      </c>
      <c r="L447" s="28">
        <v>2255</v>
      </c>
      <c r="M447" s="28">
        <v>2259</v>
      </c>
      <c r="N447" s="28">
        <v>1891</v>
      </c>
      <c r="O447" s="28">
        <v>1987</v>
      </c>
      <c r="P447" s="29">
        <f t="shared" si="147"/>
        <v>30113</v>
      </c>
    </row>
    <row r="448" spans="2:16" s="14" customFormat="1" ht="15" customHeight="1">
      <c r="B448" s="717"/>
      <c r="C448" s="30" t="s">
        <v>23</v>
      </c>
      <c r="D448" s="31">
        <v>750</v>
      </c>
      <c r="E448" s="32">
        <v>952</v>
      </c>
      <c r="F448" s="31">
        <v>804</v>
      </c>
      <c r="G448" s="32">
        <v>860</v>
      </c>
      <c r="H448" s="32">
        <v>742</v>
      </c>
      <c r="I448" s="32">
        <v>895</v>
      </c>
      <c r="J448" s="32">
        <v>821</v>
      </c>
      <c r="K448" s="32">
        <v>689</v>
      </c>
      <c r="L448" s="32">
        <v>574</v>
      </c>
      <c r="M448" s="32">
        <v>630</v>
      </c>
      <c r="N448" s="32">
        <v>531</v>
      </c>
      <c r="O448" s="32">
        <v>645</v>
      </c>
      <c r="P448" s="29">
        <f t="shared" si="147"/>
        <v>8893</v>
      </c>
    </row>
    <row r="449" spans="2:16" s="14" customFormat="1" ht="15" customHeight="1">
      <c r="B449" s="717"/>
      <c r="C449" s="26" t="s">
        <v>48</v>
      </c>
      <c r="D449" s="27">
        <v>3681</v>
      </c>
      <c r="E449" s="28">
        <v>4238</v>
      </c>
      <c r="F449" s="27">
        <v>4440</v>
      </c>
      <c r="G449" s="28">
        <v>4441</v>
      </c>
      <c r="H449" s="28">
        <v>3857</v>
      </c>
      <c r="I449" s="28">
        <v>3318</v>
      </c>
      <c r="J449" s="28">
        <v>3342</v>
      </c>
      <c r="K449" s="28">
        <v>3636</v>
      </c>
      <c r="L449" s="28">
        <v>3660</v>
      </c>
      <c r="M449" s="28">
        <v>3746</v>
      </c>
      <c r="N449" s="28">
        <v>4643</v>
      </c>
      <c r="O449" s="28">
        <v>6301</v>
      </c>
      <c r="P449" s="29">
        <f t="shared" si="147"/>
        <v>49303</v>
      </c>
    </row>
    <row r="450" spans="2:16" s="14" customFormat="1" ht="15" customHeight="1">
      <c r="B450" s="717"/>
      <c r="C450" s="30" t="s">
        <v>26</v>
      </c>
      <c r="D450" s="27">
        <v>4000</v>
      </c>
      <c r="E450" s="28">
        <v>4360</v>
      </c>
      <c r="F450" s="27">
        <v>4549</v>
      </c>
      <c r="G450" s="28">
        <v>4525</v>
      </c>
      <c r="H450" s="28">
        <v>4485</v>
      </c>
      <c r="I450" s="32">
        <v>3684</v>
      </c>
      <c r="J450" s="32">
        <v>3969</v>
      </c>
      <c r="K450" s="32">
        <v>3226</v>
      </c>
      <c r="L450" s="28">
        <v>3173</v>
      </c>
      <c r="M450" s="32">
        <v>3551</v>
      </c>
      <c r="N450" s="32">
        <v>3909</v>
      </c>
      <c r="O450" s="32">
        <v>5569</v>
      </c>
      <c r="P450" s="29">
        <f t="shared" si="147"/>
        <v>49000</v>
      </c>
    </row>
    <row r="451" spans="2:16" s="14" customFormat="1" ht="15" customHeight="1">
      <c r="B451" s="717"/>
      <c r="C451" s="26" t="s">
        <v>27</v>
      </c>
      <c r="D451" s="27">
        <v>1955</v>
      </c>
      <c r="E451" s="28">
        <v>2074</v>
      </c>
      <c r="F451" s="27">
        <v>1973</v>
      </c>
      <c r="G451" s="28">
        <v>2096</v>
      </c>
      <c r="H451" s="28">
        <v>1676</v>
      </c>
      <c r="I451" s="28">
        <v>1352</v>
      </c>
      <c r="J451" s="28">
        <v>1910</v>
      </c>
      <c r="K451" s="28">
        <v>1718</v>
      </c>
      <c r="L451" s="28">
        <v>1513</v>
      </c>
      <c r="M451" s="28">
        <v>1198</v>
      </c>
      <c r="N451" s="28">
        <v>1727</v>
      </c>
      <c r="O451" s="28">
        <v>3261</v>
      </c>
      <c r="P451" s="29">
        <f t="shared" si="147"/>
        <v>22453</v>
      </c>
    </row>
    <row r="452" spans="2:16" s="14" customFormat="1" ht="15" customHeight="1">
      <c r="B452" s="717"/>
      <c r="C452" s="30" t="s">
        <v>46</v>
      </c>
      <c r="D452" s="31">
        <v>300</v>
      </c>
      <c r="E452" s="32">
        <v>583</v>
      </c>
      <c r="F452" s="31">
        <v>613</v>
      </c>
      <c r="G452" s="32">
        <v>413</v>
      </c>
      <c r="H452" s="32">
        <v>400</v>
      </c>
      <c r="I452" s="32">
        <v>341</v>
      </c>
      <c r="J452" s="32">
        <v>350</v>
      </c>
      <c r="K452" s="32">
        <v>300</v>
      </c>
      <c r="L452" s="32">
        <v>203</v>
      </c>
      <c r="M452" s="32">
        <v>211</v>
      </c>
      <c r="N452" s="32">
        <v>270</v>
      </c>
      <c r="O452" s="32">
        <v>445</v>
      </c>
      <c r="P452" s="29">
        <f t="shared" si="147"/>
        <v>4429</v>
      </c>
    </row>
    <row r="453" spans="2:16" s="14" customFormat="1" ht="15" customHeight="1">
      <c r="B453" s="713"/>
      <c r="C453" s="42" t="s">
        <v>6</v>
      </c>
      <c r="D453" s="43">
        <f t="shared" ref="D453:P453" si="148">SUM(D446:D452)</f>
        <v>20072</v>
      </c>
      <c r="E453" s="43">
        <f t="shared" si="148"/>
        <v>21845</v>
      </c>
      <c r="F453" s="43">
        <f t="shared" si="148"/>
        <v>24437</v>
      </c>
      <c r="G453" s="43">
        <f t="shared" si="148"/>
        <v>24088</v>
      </c>
      <c r="H453" s="43">
        <f t="shared" si="148"/>
        <v>22425</v>
      </c>
      <c r="I453" s="43">
        <f t="shared" si="148"/>
        <v>19233</v>
      </c>
      <c r="J453" s="43">
        <f t="shared" si="148"/>
        <v>19778</v>
      </c>
      <c r="K453" s="43">
        <f t="shared" si="148"/>
        <v>19149</v>
      </c>
      <c r="L453" s="43">
        <f t="shared" si="148"/>
        <v>18135</v>
      </c>
      <c r="M453" s="43">
        <f t="shared" si="148"/>
        <v>20696</v>
      </c>
      <c r="N453" s="43">
        <f t="shared" si="148"/>
        <v>22318</v>
      </c>
      <c r="O453" s="43">
        <f t="shared" si="148"/>
        <v>28104</v>
      </c>
      <c r="P453" s="44">
        <f t="shared" si="148"/>
        <v>260280</v>
      </c>
    </row>
    <row r="454" spans="2:16" s="14" customFormat="1" ht="15" customHeight="1">
      <c r="B454" s="737"/>
      <c r="C454" s="30" t="s">
        <v>55</v>
      </c>
      <c r="D454" s="31">
        <v>382</v>
      </c>
      <c r="E454" s="32">
        <v>369</v>
      </c>
      <c r="F454" s="32">
        <v>334</v>
      </c>
      <c r="G454" s="32">
        <v>428</v>
      </c>
      <c r="H454" s="32">
        <v>293</v>
      </c>
      <c r="I454" s="32">
        <v>364</v>
      </c>
      <c r="J454" s="32">
        <v>325</v>
      </c>
      <c r="K454" s="32">
        <v>419</v>
      </c>
      <c r="L454" s="32">
        <v>289</v>
      </c>
      <c r="M454" s="32">
        <v>340</v>
      </c>
      <c r="N454" s="32">
        <v>270</v>
      </c>
      <c r="O454" s="32">
        <v>277</v>
      </c>
      <c r="P454" s="33">
        <f t="shared" ref="P454:P461" si="149">SUM(D454:O454)</f>
        <v>4090</v>
      </c>
    </row>
    <row r="455" spans="2:16" s="14" customFormat="1" ht="15" customHeight="1">
      <c r="B455" s="714"/>
      <c r="C455" s="30" t="s">
        <v>60</v>
      </c>
      <c r="D455" s="31">
        <v>1439</v>
      </c>
      <c r="E455" s="32">
        <v>1438</v>
      </c>
      <c r="F455" s="32">
        <v>1457</v>
      </c>
      <c r="G455" s="32">
        <v>1337</v>
      </c>
      <c r="H455" s="32">
        <v>1381</v>
      </c>
      <c r="I455" s="32">
        <v>1588</v>
      </c>
      <c r="J455" s="32">
        <v>603</v>
      </c>
      <c r="K455" s="32">
        <v>0</v>
      </c>
      <c r="L455" s="32">
        <v>2</v>
      </c>
      <c r="M455" s="32">
        <v>1</v>
      </c>
      <c r="N455" s="32">
        <v>0</v>
      </c>
      <c r="O455" s="32">
        <v>0</v>
      </c>
      <c r="P455" s="33">
        <f t="shared" si="149"/>
        <v>9246</v>
      </c>
    </row>
    <row r="456" spans="2:16" s="14" customFormat="1" ht="15" customHeight="1">
      <c r="B456" s="714"/>
      <c r="C456" s="30" t="s">
        <v>59</v>
      </c>
      <c r="D456" s="31">
        <v>0</v>
      </c>
      <c r="E456" s="32">
        <v>0</v>
      </c>
      <c r="F456" s="32">
        <v>0</v>
      </c>
      <c r="G456" s="32">
        <v>0</v>
      </c>
      <c r="H456" s="32">
        <v>0</v>
      </c>
      <c r="I456" s="32">
        <v>2684</v>
      </c>
      <c r="J456" s="32">
        <v>8740</v>
      </c>
      <c r="K456" s="32">
        <v>4841</v>
      </c>
      <c r="L456" s="32">
        <v>3857</v>
      </c>
      <c r="M456" s="32">
        <v>3313</v>
      </c>
      <c r="N456" s="32">
        <v>4751</v>
      </c>
      <c r="O456" s="32">
        <v>4211</v>
      </c>
      <c r="P456" s="33">
        <f t="shared" si="149"/>
        <v>32397</v>
      </c>
    </row>
    <row r="457" spans="2:16" s="14" customFormat="1" ht="15" customHeight="1">
      <c r="B457" s="714"/>
      <c r="C457" s="26" t="s">
        <v>31</v>
      </c>
      <c r="D457" s="27">
        <v>486</v>
      </c>
      <c r="E457" s="28">
        <v>571</v>
      </c>
      <c r="F457" s="28">
        <v>337</v>
      </c>
      <c r="G457" s="28">
        <v>303</v>
      </c>
      <c r="H457" s="28">
        <v>319</v>
      </c>
      <c r="I457" s="28">
        <v>327</v>
      </c>
      <c r="J457" s="28">
        <v>397</v>
      </c>
      <c r="K457" s="28">
        <v>345</v>
      </c>
      <c r="L457" s="28">
        <v>352</v>
      </c>
      <c r="M457" s="28">
        <v>332</v>
      </c>
      <c r="N457" s="28">
        <v>343</v>
      </c>
      <c r="O457" s="28">
        <v>261</v>
      </c>
      <c r="P457" s="33">
        <f t="shared" si="149"/>
        <v>4373</v>
      </c>
    </row>
    <row r="458" spans="2:16" s="14" customFormat="1" ht="15" customHeight="1">
      <c r="B458" s="714"/>
      <c r="C458" s="30" t="s">
        <v>33</v>
      </c>
      <c r="D458" s="27">
        <v>3988</v>
      </c>
      <c r="E458" s="28">
        <v>3621</v>
      </c>
      <c r="F458" s="28">
        <v>4223</v>
      </c>
      <c r="G458" s="32">
        <v>4459</v>
      </c>
      <c r="H458" s="32">
        <v>4112</v>
      </c>
      <c r="I458" s="32">
        <v>3772</v>
      </c>
      <c r="J458" s="32">
        <v>4806</v>
      </c>
      <c r="K458" s="32">
        <v>4497</v>
      </c>
      <c r="L458" s="32">
        <v>4021</v>
      </c>
      <c r="M458" s="32">
        <v>2938</v>
      </c>
      <c r="N458" s="32">
        <v>3792</v>
      </c>
      <c r="O458" s="32">
        <v>3500</v>
      </c>
      <c r="P458" s="33">
        <f t="shared" si="149"/>
        <v>47729</v>
      </c>
    </row>
    <row r="459" spans="2:16" s="14" customFormat="1" ht="15" customHeight="1">
      <c r="B459" s="714"/>
      <c r="C459" s="26" t="s">
        <v>63</v>
      </c>
      <c r="D459" s="27">
        <v>2037</v>
      </c>
      <c r="E459" s="28">
        <v>1758</v>
      </c>
      <c r="F459" s="28">
        <v>1723</v>
      </c>
      <c r="G459" s="28">
        <v>1788</v>
      </c>
      <c r="H459" s="28">
        <v>1818</v>
      </c>
      <c r="I459" s="28">
        <v>1210</v>
      </c>
      <c r="J459" s="28">
        <v>1534</v>
      </c>
      <c r="K459" s="28">
        <v>1317</v>
      </c>
      <c r="L459" s="28">
        <v>555</v>
      </c>
      <c r="M459" s="28">
        <v>230</v>
      </c>
      <c r="N459" s="28">
        <v>2</v>
      </c>
      <c r="O459" s="28">
        <v>0</v>
      </c>
      <c r="P459" s="29">
        <f t="shared" si="149"/>
        <v>13972</v>
      </c>
    </row>
    <row r="460" spans="2:16" s="14" customFormat="1" ht="15" customHeight="1">
      <c r="B460" s="714"/>
      <c r="C460" s="26" t="s">
        <v>62</v>
      </c>
      <c r="D460" s="27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/>
      <c r="K460" s="28">
        <v>926</v>
      </c>
      <c r="L460" s="28">
        <v>6353</v>
      </c>
      <c r="M460" s="28">
        <v>4934</v>
      </c>
      <c r="N460" s="28">
        <v>6157</v>
      </c>
      <c r="O460" s="28">
        <v>5784</v>
      </c>
      <c r="P460" s="29">
        <f t="shared" si="149"/>
        <v>24154</v>
      </c>
    </row>
    <row r="461" spans="2:16" s="14" customFormat="1" ht="15" customHeight="1">
      <c r="B461" s="714"/>
      <c r="C461" s="30" t="s">
        <v>35</v>
      </c>
      <c r="D461" s="31">
        <v>910</v>
      </c>
      <c r="E461" s="32">
        <v>797</v>
      </c>
      <c r="F461" s="32">
        <v>1102</v>
      </c>
      <c r="G461" s="32">
        <v>1023</v>
      </c>
      <c r="H461" s="32">
        <v>1136</v>
      </c>
      <c r="I461" s="32">
        <v>1060</v>
      </c>
      <c r="J461" s="32">
        <v>420</v>
      </c>
      <c r="K461" s="32">
        <v>588</v>
      </c>
      <c r="L461" s="32">
        <v>1079</v>
      </c>
      <c r="M461" s="32">
        <v>828</v>
      </c>
      <c r="N461" s="32">
        <v>865</v>
      </c>
      <c r="O461" s="32">
        <v>773</v>
      </c>
      <c r="P461" s="29">
        <f t="shared" si="149"/>
        <v>10581</v>
      </c>
    </row>
    <row r="462" spans="2:16" s="14" customFormat="1" ht="15" customHeight="1" thickBot="1">
      <c r="B462" s="738"/>
      <c r="C462" s="42" t="s">
        <v>6</v>
      </c>
      <c r="D462" s="43">
        <f t="shared" ref="D462:P462" si="150">SUM(D454:D461)</f>
        <v>9242</v>
      </c>
      <c r="E462" s="43">
        <f t="shared" si="150"/>
        <v>8554</v>
      </c>
      <c r="F462" s="43">
        <f t="shared" si="150"/>
        <v>9176</v>
      </c>
      <c r="G462" s="43">
        <f t="shared" si="150"/>
        <v>9338</v>
      </c>
      <c r="H462" s="43">
        <f t="shared" si="150"/>
        <v>9059</v>
      </c>
      <c r="I462" s="43">
        <f t="shared" si="150"/>
        <v>11005</v>
      </c>
      <c r="J462" s="43">
        <f t="shared" si="150"/>
        <v>16825</v>
      </c>
      <c r="K462" s="43">
        <f t="shared" si="150"/>
        <v>12933</v>
      </c>
      <c r="L462" s="43">
        <f t="shared" si="150"/>
        <v>16508</v>
      </c>
      <c r="M462" s="43">
        <f t="shared" si="150"/>
        <v>12916</v>
      </c>
      <c r="N462" s="43">
        <f t="shared" si="150"/>
        <v>16180</v>
      </c>
      <c r="O462" s="43">
        <f t="shared" si="150"/>
        <v>14806</v>
      </c>
      <c r="P462" s="44">
        <f t="shared" si="150"/>
        <v>146542</v>
      </c>
    </row>
    <row r="463" spans="2:16" s="14" customFormat="1" ht="15" customHeight="1">
      <c r="B463" s="716" t="s">
        <v>36</v>
      </c>
      <c r="C463" s="47" t="s">
        <v>37</v>
      </c>
      <c r="D463" s="48">
        <v>4524</v>
      </c>
      <c r="E463" s="49">
        <v>4425</v>
      </c>
      <c r="F463" s="49">
        <v>5231</v>
      </c>
      <c r="G463" s="49">
        <v>5436</v>
      </c>
      <c r="H463" s="49">
        <v>4620</v>
      </c>
      <c r="I463" s="49">
        <v>4578</v>
      </c>
      <c r="J463" s="49">
        <v>5391</v>
      </c>
      <c r="K463" s="49">
        <v>3694</v>
      </c>
      <c r="L463" s="49">
        <v>3701</v>
      </c>
      <c r="M463" s="49">
        <v>3153</v>
      </c>
      <c r="N463" s="49">
        <v>5620</v>
      </c>
      <c r="O463" s="49">
        <v>4734</v>
      </c>
      <c r="P463" s="50">
        <f>SUM(D463:O463)</f>
        <v>55107</v>
      </c>
    </row>
    <row r="464" spans="2:16" s="14" customFormat="1" ht="15" customHeight="1">
      <c r="B464" s="717"/>
      <c r="C464" s="22" t="s">
        <v>38</v>
      </c>
      <c r="D464" s="23">
        <v>131</v>
      </c>
      <c r="E464" s="24">
        <v>131</v>
      </c>
      <c r="F464" s="24">
        <v>150</v>
      </c>
      <c r="G464" s="24">
        <v>140</v>
      </c>
      <c r="H464" s="24">
        <v>147</v>
      </c>
      <c r="I464" s="24">
        <v>133</v>
      </c>
      <c r="J464" s="24">
        <v>152</v>
      </c>
      <c r="K464" s="24">
        <v>90</v>
      </c>
      <c r="L464" s="24">
        <v>96</v>
      </c>
      <c r="M464" s="24">
        <v>86</v>
      </c>
      <c r="N464" s="24">
        <v>125</v>
      </c>
      <c r="O464" s="24">
        <v>147</v>
      </c>
      <c r="P464" s="25">
        <f>SUM(D464:O464)</f>
        <v>1528</v>
      </c>
    </row>
    <row r="465" spans="1:16" s="14" customFormat="1" ht="15" customHeight="1">
      <c r="B465" s="717"/>
      <c r="C465" s="22" t="s">
        <v>39</v>
      </c>
      <c r="D465" s="23">
        <v>31</v>
      </c>
      <c r="E465" s="24">
        <v>45</v>
      </c>
      <c r="F465" s="24">
        <v>11</v>
      </c>
      <c r="G465" s="24">
        <v>3</v>
      </c>
      <c r="H465" s="24">
        <v>1</v>
      </c>
      <c r="I465" s="24">
        <v>553</v>
      </c>
      <c r="J465" s="24">
        <v>159</v>
      </c>
      <c r="K465" s="24">
        <v>137</v>
      </c>
      <c r="L465" s="24">
        <v>165</v>
      </c>
      <c r="M465" s="24">
        <v>154</v>
      </c>
      <c r="N465" s="24">
        <v>257</v>
      </c>
      <c r="O465" s="24">
        <v>227</v>
      </c>
      <c r="P465" s="25">
        <f>SUM(D465:O465)</f>
        <v>1743</v>
      </c>
    </row>
    <row r="466" spans="1:16" s="14" customFormat="1" ht="15" customHeight="1" thickBot="1">
      <c r="B466" s="718"/>
      <c r="C466" s="51" t="s">
        <v>6</v>
      </c>
      <c r="D466" s="52">
        <f t="shared" ref="D466:P466" si="151">SUM(D463:D465)</f>
        <v>4686</v>
      </c>
      <c r="E466" s="52">
        <f t="shared" si="151"/>
        <v>4601</v>
      </c>
      <c r="F466" s="52">
        <f t="shared" si="151"/>
        <v>5392</v>
      </c>
      <c r="G466" s="52">
        <f t="shared" si="151"/>
        <v>5579</v>
      </c>
      <c r="H466" s="52">
        <f t="shared" si="151"/>
        <v>4768</v>
      </c>
      <c r="I466" s="52">
        <f t="shared" si="151"/>
        <v>5264</v>
      </c>
      <c r="J466" s="52">
        <f t="shared" si="151"/>
        <v>5702</v>
      </c>
      <c r="K466" s="52">
        <f t="shared" si="151"/>
        <v>3921</v>
      </c>
      <c r="L466" s="52">
        <f t="shared" si="151"/>
        <v>3962</v>
      </c>
      <c r="M466" s="52">
        <f t="shared" si="151"/>
        <v>3393</v>
      </c>
      <c r="N466" s="52">
        <f t="shared" si="151"/>
        <v>6002</v>
      </c>
      <c r="O466" s="52">
        <f t="shared" si="151"/>
        <v>5108</v>
      </c>
      <c r="P466" s="53">
        <f t="shared" si="151"/>
        <v>58378</v>
      </c>
    </row>
    <row r="467" spans="1:16" s="14" customFormat="1" ht="15" customHeight="1" thickBot="1">
      <c r="B467" s="731" t="s">
        <v>40</v>
      </c>
      <c r="C467" s="732"/>
      <c r="D467" s="54">
        <f t="shared" ref="D467:P467" si="152">D453+D462+D466</f>
        <v>34000</v>
      </c>
      <c r="E467" s="54">
        <f t="shared" si="152"/>
        <v>35000</v>
      </c>
      <c r="F467" s="54">
        <f t="shared" si="152"/>
        <v>39005</v>
      </c>
      <c r="G467" s="54">
        <f t="shared" si="152"/>
        <v>39005</v>
      </c>
      <c r="H467" s="54">
        <f t="shared" si="152"/>
        <v>36252</v>
      </c>
      <c r="I467" s="54">
        <f t="shared" si="152"/>
        <v>35502</v>
      </c>
      <c r="J467" s="54">
        <f t="shared" si="152"/>
        <v>42305</v>
      </c>
      <c r="K467" s="54">
        <f t="shared" si="152"/>
        <v>36003</v>
      </c>
      <c r="L467" s="54">
        <f t="shared" si="152"/>
        <v>38605</v>
      </c>
      <c r="M467" s="54">
        <f t="shared" si="152"/>
        <v>37005</v>
      </c>
      <c r="N467" s="54">
        <f t="shared" si="152"/>
        <v>44500</v>
      </c>
      <c r="O467" s="54">
        <f t="shared" si="152"/>
        <v>48018</v>
      </c>
      <c r="P467" s="55">
        <f t="shared" si="152"/>
        <v>465200</v>
      </c>
    </row>
    <row r="468" spans="1:16" s="14" customFormat="1" ht="15" customHeight="1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>
        <f>M467/M502-1</f>
        <v>-5.1153846153846105E-2</v>
      </c>
      <c r="N468" s="75">
        <f>N467/N502-1</f>
        <v>0.14243171082357775</v>
      </c>
      <c r="O468" s="75">
        <f>O467/O502-1</f>
        <v>0.17057117086370388</v>
      </c>
      <c r="P468" s="75"/>
    </row>
    <row r="469" spans="1:16" s="14" customFormat="1" ht="15" customHeight="1">
      <c r="B469" s="66" t="s">
        <v>72</v>
      </c>
      <c r="C469" s="67"/>
      <c r="D469" s="58">
        <f t="shared" ref="D469:P469" si="153">D450</f>
        <v>4000</v>
      </c>
      <c r="E469" s="58">
        <f t="shared" si="153"/>
        <v>4360</v>
      </c>
      <c r="F469" s="58">
        <f t="shared" si="153"/>
        <v>4549</v>
      </c>
      <c r="G469" s="58">
        <f t="shared" si="153"/>
        <v>4525</v>
      </c>
      <c r="H469" s="58">
        <f t="shared" si="153"/>
        <v>4485</v>
      </c>
      <c r="I469" s="58">
        <f t="shared" si="153"/>
        <v>3684</v>
      </c>
      <c r="J469" s="58">
        <f t="shared" si="153"/>
        <v>3969</v>
      </c>
      <c r="K469" s="58">
        <f t="shared" si="153"/>
        <v>3226</v>
      </c>
      <c r="L469" s="58">
        <f t="shared" si="153"/>
        <v>3173</v>
      </c>
      <c r="M469" s="58">
        <f t="shared" si="153"/>
        <v>3551</v>
      </c>
      <c r="N469" s="58">
        <f t="shared" si="153"/>
        <v>3909</v>
      </c>
      <c r="O469" s="58">
        <f t="shared" si="153"/>
        <v>5569</v>
      </c>
      <c r="P469" s="58">
        <f t="shared" si="153"/>
        <v>49000</v>
      </c>
    </row>
    <row r="470" spans="1:16" s="14" customFormat="1" ht="15" customHeight="1">
      <c r="B470" s="68"/>
      <c r="C470" s="61" t="s">
        <v>70</v>
      </c>
      <c r="D470" s="62">
        <v>3553</v>
      </c>
      <c r="E470" s="62">
        <v>3816</v>
      </c>
      <c r="F470" s="62">
        <v>4034</v>
      </c>
      <c r="G470" s="62">
        <v>4143</v>
      </c>
      <c r="H470" s="62">
        <v>4068</v>
      </c>
      <c r="I470" s="62">
        <v>3310</v>
      </c>
      <c r="J470" s="62">
        <v>3582</v>
      </c>
      <c r="K470" s="62">
        <v>2900</v>
      </c>
      <c r="L470" s="62">
        <v>2804</v>
      </c>
      <c r="M470" s="62">
        <v>3133</v>
      </c>
      <c r="N470" s="62">
        <v>3581</v>
      </c>
      <c r="O470" s="62">
        <v>4921</v>
      </c>
      <c r="P470" s="63">
        <f>SUM(D470:O470)</f>
        <v>43845</v>
      </c>
    </row>
    <row r="471" spans="1:16" s="14" customFormat="1" ht="15" customHeight="1">
      <c r="B471" s="60"/>
      <c r="C471" s="61" t="s">
        <v>80</v>
      </c>
      <c r="D471" s="62">
        <v>447</v>
      </c>
      <c r="E471" s="62">
        <v>544</v>
      </c>
      <c r="F471" s="62">
        <v>515</v>
      </c>
      <c r="G471" s="62">
        <v>382</v>
      </c>
      <c r="H471" s="62">
        <v>417</v>
      </c>
      <c r="I471" s="62">
        <v>374</v>
      </c>
      <c r="J471" s="62">
        <v>387</v>
      </c>
      <c r="K471" s="62">
        <v>326</v>
      </c>
      <c r="L471" s="62">
        <v>369</v>
      </c>
      <c r="M471" s="62">
        <v>418</v>
      </c>
      <c r="N471" s="62">
        <v>328</v>
      </c>
      <c r="O471" s="62">
        <v>648</v>
      </c>
      <c r="P471" s="63">
        <f>SUM(D471:O471)</f>
        <v>5155</v>
      </c>
    </row>
    <row r="472" spans="1:16" s="14" customFormat="1" ht="15" customHeight="1"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6" s="14" customFormat="1" ht="15" customHeight="1">
      <c r="B473" s="66" t="s">
        <v>57</v>
      </c>
      <c r="C473" s="67"/>
      <c r="D473" s="58">
        <f t="shared" ref="D473:P473" si="154">D451</f>
        <v>1955</v>
      </c>
      <c r="E473" s="58">
        <f t="shared" si="154"/>
        <v>2074</v>
      </c>
      <c r="F473" s="58">
        <f t="shared" si="154"/>
        <v>1973</v>
      </c>
      <c r="G473" s="58">
        <f t="shared" si="154"/>
        <v>2096</v>
      </c>
      <c r="H473" s="58">
        <f t="shared" si="154"/>
        <v>1676</v>
      </c>
      <c r="I473" s="58">
        <f t="shared" si="154"/>
        <v>1352</v>
      </c>
      <c r="J473" s="58">
        <f t="shared" si="154"/>
        <v>1910</v>
      </c>
      <c r="K473" s="58">
        <f t="shared" si="154"/>
        <v>1718</v>
      </c>
      <c r="L473" s="58">
        <f t="shared" si="154"/>
        <v>1513</v>
      </c>
      <c r="M473" s="58">
        <f t="shared" si="154"/>
        <v>1198</v>
      </c>
      <c r="N473" s="58">
        <f t="shared" si="154"/>
        <v>1727</v>
      </c>
      <c r="O473" s="58">
        <f t="shared" si="154"/>
        <v>3261</v>
      </c>
      <c r="P473" s="58">
        <f t="shared" si="154"/>
        <v>22453</v>
      </c>
    </row>
    <row r="474" spans="1:16" s="14" customFormat="1" ht="15" customHeight="1">
      <c r="B474" s="68"/>
      <c r="C474" s="61" t="s">
        <v>78</v>
      </c>
      <c r="D474" s="62">
        <v>1570</v>
      </c>
      <c r="E474" s="62">
        <v>1613</v>
      </c>
      <c r="F474" s="62">
        <v>1588</v>
      </c>
      <c r="G474" s="62">
        <v>1668</v>
      </c>
      <c r="H474" s="62">
        <v>1373</v>
      </c>
      <c r="I474" s="62">
        <v>1156</v>
      </c>
      <c r="J474" s="62">
        <v>1625</v>
      </c>
      <c r="K474" s="62">
        <v>1439</v>
      </c>
      <c r="L474" s="62">
        <v>1222</v>
      </c>
      <c r="M474" s="62">
        <v>1016</v>
      </c>
      <c r="N474" s="62">
        <v>1417</v>
      </c>
      <c r="O474" s="62">
        <v>2924</v>
      </c>
      <c r="P474" s="63">
        <f>SUM(D474:O474)</f>
        <v>18611</v>
      </c>
    </row>
    <row r="475" spans="1:16" s="14" customFormat="1" ht="15" customHeight="1">
      <c r="B475" s="60"/>
      <c r="C475" s="61" t="s">
        <v>79</v>
      </c>
      <c r="D475" s="62">
        <v>385</v>
      </c>
      <c r="E475" s="62">
        <v>461</v>
      </c>
      <c r="F475" s="62">
        <v>385</v>
      </c>
      <c r="G475" s="62">
        <v>428</v>
      </c>
      <c r="H475" s="62">
        <v>303</v>
      </c>
      <c r="I475" s="62">
        <v>196</v>
      </c>
      <c r="J475" s="62">
        <v>285</v>
      </c>
      <c r="K475" s="62">
        <v>279</v>
      </c>
      <c r="L475" s="62">
        <v>291</v>
      </c>
      <c r="M475" s="62">
        <v>182</v>
      </c>
      <c r="N475" s="62">
        <v>310</v>
      </c>
      <c r="O475" s="62">
        <v>337</v>
      </c>
      <c r="P475" s="63">
        <f>SUM(D475:O475)</f>
        <v>3842</v>
      </c>
    </row>
    <row r="476" spans="1:16" s="14" customFormat="1" ht="15" customHeight="1">
      <c r="B476" s="72"/>
      <c r="C476" s="69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1"/>
    </row>
    <row r="477" spans="1:16" s="14" customFormat="1" ht="15" customHeight="1"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6" ht="15" customHeight="1" thickBot="1">
      <c r="A478"/>
      <c r="B478" s="16" t="s">
        <v>49</v>
      </c>
      <c r="C478" s="16"/>
    </row>
    <row r="479" spans="1:16" ht="15" customHeight="1" thickBot="1">
      <c r="A479"/>
      <c r="B479" s="735" t="s">
        <v>19</v>
      </c>
      <c r="C479" s="736"/>
      <c r="D479" s="19">
        <v>1</v>
      </c>
      <c r="E479" s="20">
        <v>2</v>
      </c>
      <c r="F479" s="20">
        <v>3</v>
      </c>
      <c r="G479" s="20">
        <v>4</v>
      </c>
      <c r="H479" s="20">
        <v>5</v>
      </c>
      <c r="I479" s="20">
        <v>6</v>
      </c>
      <c r="J479" s="20">
        <v>7</v>
      </c>
      <c r="K479" s="20">
        <v>8</v>
      </c>
      <c r="L479" s="20">
        <v>9</v>
      </c>
      <c r="M479" s="20">
        <v>10</v>
      </c>
      <c r="N479" s="20">
        <v>11</v>
      </c>
      <c r="O479" s="20">
        <v>12</v>
      </c>
      <c r="P479" s="21" t="s">
        <v>6</v>
      </c>
    </row>
    <row r="480" spans="1:16" ht="15" customHeight="1">
      <c r="A480"/>
      <c r="B480" s="716"/>
      <c r="C480" s="26" t="s">
        <v>22</v>
      </c>
      <c r="D480" s="27">
        <v>7722</v>
      </c>
      <c r="E480" s="28">
        <v>6917</v>
      </c>
      <c r="F480" s="27">
        <v>8823</v>
      </c>
      <c r="G480" s="28">
        <v>8080</v>
      </c>
      <c r="H480" s="28">
        <v>8192</v>
      </c>
      <c r="I480" s="28">
        <v>7075</v>
      </c>
      <c r="J480" s="28">
        <v>7575</v>
      </c>
      <c r="K480" s="28">
        <v>7739</v>
      </c>
      <c r="L480" s="28">
        <v>7514</v>
      </c>
      <c r="M480" s="28">
        <v>7913</v>
      </c>
      <c r="N480" s="28">
        <v>8080</v>
      </c>
      <c r="O480" s="28">
        <v>8001</v>
      </c>
      <c r="P480" s="29">
        <f t="shared" ref="P480:P487" si="155">SUM(D480:O480)</f>
        <v>93631</v>
      </c>
    </row>
    <row r="481" spans="1:17" ht="15" customHeight="1">
      <c r="A481"/>
      <c r="B481" s="717"/>
      <c r="C481" s="26" t="s">
        <v>44</v>
      </c>
      <c r="D481" s="27">
        <v>2164</v>
      </c>
      <c r="E481" s="28">
        <v>1862</v>
      </c>
      <c r="F481" s="27">
        <v>2431</v>
      </c>
      <c r="G481" s="28">
        <v>2300</v>
      </c>
      <c r="H481" s="28">
        <v>2578</v>
      </c>
      <c r="I481" s="28">
        <v>2273</v>
      </c>
      <c r="J481" s="28">
        <v>2567</v>
      </c>
      <c r="K481" s="28">
        <v>2501</v>
      </c>
      <c r="L481" s="28">
        <v>2152</v>
      </c>
      <c r="M481" s="28">
        <v>2223</v>
      </c>
      <c r="N481" s="28">
        <v>2317</v>
      </c>
      <c r="O481" s="28">
        <v>2053</v>
      </c>
      <c r="P481" s="29">
        <f t="shared" si="155"/>
        <v>27421</v>
      </c>
    </row>
    <row r="482" spans="1:17" ht="15" customHeight="1">
      <c r="A482"/>
      <c r="B482" s="717"/>
      <c r="C482" s="30" t="s">
        <v>23</v>
      </c>
      <c r="D482" s="31">
        <v>950</v>
      </c>
      <c r="E482" s="32">
        <v>910</v>
      </c>
      <c r="F482" s="31">
        <v>1046</v>
      </c>
      <c r="G482" s="32">
        <v>1193</v>
      </c>
      <c r="H482" s="32">
        <v>1051</v>
      </c>
      <c r="I482" s="32">
        <v>938</v>
      </c>
      <c r="J482" s="32">
        <v>966</v>
      </c>
      <c r="K482" s="32">
        <v>954</v>
      </c>
      <c r="L482" s="32">
        <v>836</v>
      </c>
      <c r="M482" s="32">
        <v>912</v>
      </c>
      <c r="N482" s="32">
        <v>751</v>
      </c>
      <c r="O482" s="32">
        <v>530</v>
      </c>
      <c r="P482" s="29">
        <f t="shared" si="155"/>
        <v>11037</v>
      </c>
    </row>
    <row r="483" spans="1:17" ht="15" customHeight="1">
      <c r="A483"/>
      <c r="B483" s="717"/>
      <c r="C483" s="30" t="s">
        <v>24</v>
      </c>
      <c r="D483" s="31">
        <v>192</v>
      </c>
      <c r="E483" s="32">
        <v>133</v>
      </c>
      <c r="F483" s="31">
        <v>142</v>
      </c>
      <c r="G483" s="32">
        <v>125</v>
      </c>
      <c r="H483" s="32">
        <v>86</v>
      </c>
      <c r="I483" s="32">
        <v>42</v>
      </c>
      <c r="J483" s="32">
        <v>84</v>
      </c>
      <c r="K483" s="32">
        <v>1</v>
      </c>
      <c r="L483" s="32">
        <v>0</v>
      </c>
      <c r="M483" s="32">
        <v>0</v>
      </c>
      <c r="N483" s="32">
        <v>0</v>
      </c>
      <c r="O483" s="32">
        <v>0</v>
      </c>
      <c r="P483" s="29">
        <f t="shared" si="155"/>
        <v>805</v>
      </c>
    </row>
    <row r="484" spans="1:17" ht="15" customHeight="1">
      <c r="A484"/>
      <c r="B484" s="717"/>
      <c r="C484" s="26" t="s">
        <v>48</v>
      </c>
      <c r="D484" s="27">
        <v>4005</v>
      </c>
      <c r="E484" s="28">
        <v>4240</v>
      </c>
      <c r="F484" s="27">
        <v>5414</v>
      </c>
      <c r="G484" s="28">
        <v>5067</v>
      </c>
      <c r="H484" s="28">
        <v>4890</v>
      </c>
      <c r="I484" s="28">
        <v>4049</v>
      </c>
      <c r="J484" s="28">
        <v>4228</v>
      </c>
      <c r="K484" s="28">
        <v>3974</v>
      </c>
      <c r="L484" s="28">
        <v>3347</v>
      </c>
      <c r="M484" s="28">
        <v>3052</v>
      </c>
      <c r="N484" s="28">
        <v>4222</v>
      </c>
      <c r="O484" s="28">
        <v>4791</v>
      </c>
      <c r="P484" s="29">
        <f t="shared" si="155"/>
        <v>51279</v>
      </c>
    </row>
    <row r="485" spans="1:17" ht="15" customHeight="1">
      <c r="A485"/>
      <c r="B485" s="717"/>
      <c r="C485" s="30" t="s">
        <v>26</v>
      </c>
      <c r="D485" s="27">
        <v>4108</v>
      </c>
      <c r="E485" s="28">
        <v>3966</v>
      </c>
      <c r="F485" s="27">
        <v>4951</v>
      </c>
      <c r="G485" s="28">
        <v>4973</v>
      </c>
      <c r="H485" s="28">
        <v>4373</v>
      </c>
      <c r="I485" s="32">
        <v>5723</v>
      </c>
      <c r="J485" s="32">
        <v>7479</v>
      </c>
      <c r="K485" s="32">
        <v>5656</v>
      </c>
      <c r="L485" s="28">
        <v>4887</v>
      </c>
      <c r="M485" s="32">
        <v>5478</v>
      </c>
      <c r="N485" s="32">
        <v>5560</v>
      </c>
      <c r="O485" s="32">
        <v>5853</v>
      </c>
      <c r="P485" s="29">
        <f t="shared" si="155"/>
        <v>63007</v>
      </c>
    </row>
    <row r="486" spans="1:17" ht="15" customHeight="1">
      <c r="A486"/>
      <c r="B486" s="717"/>
      <c r="C486" s="26" t="s">
        <v>27</v>
      </c>
      <c r="D486" s="27">
        <v>2697</v>
      </c>
      <c r="E486" s="28">
        <v>2125</v>
      </c>
      <c r="F486" s="27">
        <v>2468</v>
      </c>
      <c r="G486" s="28">
        <v>2285</v>
      </c>
      <c r="H486" s="28">
        <v>2124</v>
      </c>
      <c r="I486" s="28">
        <v>1906</v>
      </c>
      <c r="J486" s="28">
        <v>2044</v>
      </c>
      <c r="K486" s="28">
        <v>1711</v>
      </c>
      <c r="L486" s="28">
        <v>1685</v>
      </c>
      <c r="M486" s="28">
        <v>1802</v>
      </c>
      <c r="N486" s="28">
        <v>2093</v>
      </c>
      <c r="O486" s="28">
        <v>2390</v>
      </c>
      <c r="P486" s="29">
        <f t="shared" si="155"/>
        <v>25330</v>
      </c>
    </row>
    <row r="487" spans="1:17" ht="15" customHeight="1">
      <c r="A487"/>
      <c r="B487" s="717"/>
      <c r="C487" s="30" t="s">
        <v>46</v>
      </c>
      <c r="D487" s="31">
        <v>500</v>
      </c>
      <c r="E487" s="32">
        <v>510</v>
      </c>
      <c r="F487" s="31">
        <v>520</v>
      </c>
      <c r="G487" s="32">
        <v>520</v>
      </c>
      <c r="H487" s="32">
        <v>505</v>
      </c>
      <c r="I487" s="32">
        <v>410</v>
      </c>
      <c r="J487" s="32">
        <v>400</v>
      </c>
      <c r="K487" s="32">
        <v>400</v>
      </c>
      <c r="L487" s="32">
        <v>402</v>
      </c>
      <c r="M487" s="32">
        <v>330</v>
      </c>
      <c r="N487" s="32">
        <v>310</v>
      </c>
      <c r="O487" s="32">
        <v>222</v>
      </c>
      <c r="P487" s="29">
        <f t="shared" si="155"/>
        <v>5029</v>
      </c>
    </row>
    <row r="488" spans="1:17" ht="15" customHeight="1">
      <c r="A488"/>
      <c r="B488" s="713"/>
      <c r="C488" s="42" t="s">
        <v>6</v>
      </c>
      <c r="D488" s="43">
        <f t="shared" ref="D488:P488" si="156">SUM(D480:D487)</f>
        <v>22338</v>
      </c>
      <c r="E488" s="43">
        <f t="shared" si="156"/>
        <v>20663</v>
      </c>
      <c r="F488" s="43">
        <f t="shared" si="156"/>
        <v>25795</v>
      </c>
      <c r="G488" s="43">
        <f t="shared" si="156"/>
        <v>24543</v>
      </c>
      <c r="H488" s="43">
        <f t="shared" si="156"/>
        <v>23799</v>
      </c>
      <c r="I488" s="43">
        <f t="shared" si="156"/>
        <v>22416</v>
      </c>
      <c r="J488" s="43">
        <f t="shared" si="156"/>
        <v>25343</v>
      </c>
      <c r="K488" s="43">
        <f t="shared" si="156"/>
        <v>22936</v>
      </c>
      <c r="L488" s="43">
        <f t="shared" si="156"/>
        <v>20823</v>
      </c>
      <c r="M488" s="43">
        <f t="shared" si="156"/>
        <v>21710</v>
      </c>
      <c r="N488" s="43">
        <f t="shared" si="156"/>
        <v>23333</v>
      </c>
      <c r="O488" s="43">
        <f t="shared" si="156"/>
        <v>23840</v>
      </c>
      <c r="P488" s="44">
        <f t="shared" si="156"/>
        <v>277539</v>
      </c>
    </row>
    <row r="489" spans="1:17" ht="15" customHeight="1">
      <c r="A489"/>
      <c r="B489" s="737" t="s">
        <v>12</v>
      </c>
      <c r="C489" s="30" t="s">
        <v>54</v>
      </c>
      <c r="D489" s="31">
        <v>226</v>
      </c>
      <c r="E489" s="32">
        <v>688</v>
      </c>
      <c r="F489" s="32">
        <v>264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3">
        <f t="shared" ref="P489:P496" si="157">SUM(D489:O489)</f>
        <v>1178</v>
      </c>
      <c r="Q489" s="45"/>
    </row>
    <row r="490" spans="1:17" ht="15" customHeight="1">
      <c r="A490"/>
      <c r="B490" s="714"/>
      <c r="C490" s="30" t="s">
        <v>55</v>
      </c>
      <c r="D490" s="31">
        <v>0</v>
      </c>
      <c r="E490" s="32">
        <v>0</v>
      </c>
      <c r="F490" s="32">
        <v>253</v>
      </c>
      <c r="G490" s="32">
        <v>1512</v>
      </c>
      <c r="H490" s="32">
        <v>1146</v>
      </c>
      <c r="I490" s="32">
        <v>921</v>
      </c>
      <c r="J490" s="32">
        <v>821</v>
      </c>
      <c r="K490" s="32">
        <v>514</v>
      </c>
      <c r="L490" s="32">
        <v>597</v>
      </c>
      <c r="M490" s="32">
        <v>886</v>
      </c>
      <c r="N490" s="32">
        <v>569</v>
      </c>
      <c r="O490" s="32">
        <v>375</v>
      </c>
      <c r="P490" s="33">
        <f t="shared" si="157"/>
        <v>7594</v>
      </c>
      <c r="Q490" s="45"/>
    </row>
    <row r="491" spans="1:17" ht="15" customHeight="1">
      <c r="A491"/>
      <c r="B491" s="714"/>
      <c r="C491" s="30" t="s">
        <v>30</v>
      </c>
      <c r="D491" s="31">
        <v>2745</v>
      </c>
      <c r="E491" s="32">
        <v>2096</v>
      </c>
      <c r="F491" s="32">
        <v>2487</v>
      </c>
      <c r="G491" s="32">
        <v>2762</v>
      </c>
      <c r="H491" s="32">
        <v>2780</v>
      </c>
      <c r="I491" s="32">
        <v>3147</v>
      </c>
      <c r="J491" s="32">
        <v>4285</v>
      </c>
      <c r="K491" s="32">
        <v>3092</v>
      </c>
      <c r="L491" s="32">
        <v>1152</v>
      </c>
      <c r="M491" s="32">
        <v>2509</v>
      </c>
      <c r="N491" s="32">
        <v>1974</v>
      </c>
      <c r="O491" s="32">
        <v>1557</v>
      </c>
      <c r="P491" s="33">
        <f t="shared" si="157"/>
        <v>30586</v>
      </c>
    </row>
    <row r="492" spans="1:17" ht="15" customHeight="1">
      <c r="A492"/>
      <c r="B492" s="714"/>
      <c r="C492" s="30" t="s">
        <v>31</v>
      </c>
      <c r="D492" s="31">
        <v>179</v>
      </c>
      <c r="E492" s="32">
        <v>122</v>
      </c>
      <c r="F492" s="32">
        <v>149</v>
      </c>
      <c r="G492" s="32">
        <v>131</v>
      </c>
      <c r="H492" s="32">
        <v>145</v>
      </c>
      <c r="I492" s="32">
        <v>160</v>
      </c>
      <c r="J492" s="32">
        <v>120</v>
      </c>
      <c r="K492" s="32">
        <v>118</v>
      </c>
      <c r="L492" s="32">
        <v>102</v>
      </c>
      <c r="M492" s="32">
        <v>90</v>
      </c>
      <c r="N492" s="32">
        <v>29</v>
      </c>
      <c r="O492" s="32">
        <v>0</v>
      </c>
      <c r="P492" s="33">
        <f t="shared" si="157"/>
        <v>1345</v>
      </c>
    </row>
    <row r="493" spans="1:17" ht="15" customHeight="1">
      <c r="A493"/>
      <c r="B493" s="714"/>
      <c r="C493" s="26" t="s">
        <v>56</v>
      </c>
      <c r="D493" s="27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61</v>
      </c>
      <c r="N493" s="28">
        <v>670</v>
      </c>
      <c r="O493" s="28">
        <v>708</v>
      </c>
      <c r="P493" s="33">
        <f t="shared" si="157"/>
        <v>1439</v>
      </c>
    </row>
    <row r="494" spans="1:17" ht="15" customHeight="1">
      <c r="A494"/>
      <c r="B494" s="714"/>
      <c r="C494" s="30" t="s">
        <v>33</v>
      </c>
      <c r="D494" s="27">
        <v>2778</v>
      </c>
      <c r="E494" s="28">
        <v>2805</v>
      </c>
      <c r="F494" s="28">
        <v>3080</v>
      </c>
      <c r="G494" s="32">
        <v>3616</v>
      </c>
      <c r="H494" s="32">
        <v>3384</v>
      </c>
      <c r="I494" s="32">
        <v>3116</v>
      </c>
      <c r="J494" s="32">
        <v>2893</v>
      </c>
      <c r="K494" s="32">
        <v>5191</v>
      </c>
      <c r="L494" s="32">
        <v>2932</v>
      </c>
      <c r="M494" s="32">
        <v>5477</v>
      </c>
      <c r="N494" s="32">
        <v>4286</v>
      </c>
      <c r="O494" s="32">
        <v>5800</v>
      </c>
      <c r="P494" s="33">
        <f t="shared" si="157"/>
        <v>45358</v>
      </c>
    </row>
    <row r="495" spans="1:17" ht="15" customHeight="1">
      <c r="A495"/>
      <c r="B495" s="714"/>
      <c r="C495" s="26" t="s">
        <v>34</v>
      </c>
      <c r="D495" s="27">
        <v>1913</v>
      </c>
      <c r="E495" s="28">
        <v>1666</v>
      </c>
      <c r="F495" s="28">
        <v>2139</v>
      </c>
      <c r="G495" s="28">
        <v>2319</v>
      </c>
      <c r="H495" s="28">
        <v>2627</v>
      </c>
      <c r="I495" s="28">
        <v>2141</v>
      </c>
      <c r="J495" s="28">
        <v>2836</v>
      </c>
      <c r="K495" s="28">
        <v>2755</v>
      </c>
      <c r="L495" s="28">
        <v>2664</v>
      </c>
      <c r="M495" s="28">
        <v>2897</v>
      </c>
      <c r="N495" s="28">
        <v>2334</v>
      </c>
      <c r="O495" s="28">
        <v>2877</v>
      </c>
      <c r="P495" s="29">
        <f t="shared" si="157"/>
        <v>29168</v>
      </c>
      <c r="Q495" s="46"/>
    </row>
    <row r="496" spans="1:17" ht="15" customHeight="1">
      <c r="A496"/>
      <c r="B496" s="714"/>
      <c r="C496" s="30" t="s">
        <v>35</v>
      </c>
      <c r="D496" s="31">
        <v>807</v>
      </c>
      <c r="E496" s="32">
        <v>627</v>
      </c>
      <c r="F496" s="32">
        <v>764</v>
      </c>
      <c r="G496" s="32">
        <v>694</v>
      </c>
      <c r="H496" s="32">
        <v>760</v>
      </c>
      <c r="I496" s="32">
        <v>845</v>
      </c>
      <c r="J496" s="32">
        <v>720</v>
      </c>
      <c r="K496" s="32">
        <v>722</v>
      </c>
      <c r="L496" s="32">
        <v>549</v>
      </c>
      <c r="M496" s="32">
        <v>793</v>
      </c>
      <c r="N496" s="32">
        <v>891</v>
      </c>
      <c r="O496" s="32">
        <v>840</v>
      </c>
      <c r="P496" s="29">
        <f t="shared" si="157"/>
        <v>9012</v>
      </c>
      <c r="Q496" s="46"/>
    </row>
    <row r="497" spans="1:17" ht="15" customHeight="1" thickBot="1">
      <c r="A497"/>
      <c r="B497" s="738"/>
      <c r="C497" s="42" t="s">
        <v>6</v>
      </c>
      <c r="D497" s="43">
        <f t="shared" ref="D497:P497" si="158">SUM(D489:D496)</f>
        <v>8648</v>
      </c>
      <c r="E497" s="43">
        <f t="shared" si="158"/>
        <v>8004</v>
      </c>
      <c r="F497" s="43">
        <f t="shared" si="158"/>
        <v>9136</v>
      </c>
      <c r="G497" s="43">
        <f t="shared" si="158"/>
        <v>11034</v>
      </c>
      <c r="H497" s="43">
        <f t="shared" si="158"/>
        <v>10842</v>
      </c>
      <c r="I497" s="43">
        <f t="shared" si="158"/>
        <v>10330</v>
      </c>
      <c r="J497" s="43">
        <f t="shared" si="158"/>
        <v>11675</v>
      </c>
      <c r="K497" s="43">
        <f t="shared" si="158"/>
        <v>12392</v>
      </c>
      <c r="L497" s="43">
        <f t="shared" si="158"/>
        <v>7996</v>
      </c>
      <c r="M497" s="43">
        <f t="shared" si="158"/>
        <v>12713</v>
      </c>
      <c r="N497" s="43">
        <f t="shared" si="158"/>
        <v>10753</v>
      </c>
      <c r="O497" s="43">
        <f t="shared" si="158"/>
        <v>12157</v>
      </c>
      <c r="P497" s="44">
        <f t="shared" si="158"/>
        <v>125680</v>
      </c>
      <c r="Q497" s="46"/>
    </row>
    <row r="498" spans="1:17" ht="15" customHeight="1">
      <c r="A498"/>
      <c r="B498" s="716" t="s">
        <v>36</v>
      </c>
      <c r="C498" s="47" t="s">
        <v>37</v>
      </c>
      <c r="D498" s="48">
        <v>5093</v>
      </c>
      <c r="E498" s="49">
        <v>4109</v>
      </c>
      <c r="F498" s="49">
        <v>4438</v>
      </c>
      <c r="G498" s="49">
        <v>4843</v>
      </c>
      <c r="H498" s="49">
        <v>4372</v>
      </c>
      <c r="I498" s="49">
        <v>4672</v>
      </c>
      <c r="J498" s="49">
        <v>4216</v>
      </c>
      <c r="K498" s="49">
        <v>3394</v>
      </c>
      <c r="L498" s="49">
        <v>3037</v>
      </c>
      <c r="M498" s="49">
        <v>4173</v>
      </c>
      <c r="N498" s="49">
        <v>4630</v>
      </c>
      <c r="O498" s="49">
        <v>4451</v>
      </c>
      <c r="P498" s="50">
        <f>SUM(D498:O498)</f>
        <v>51428</v>
      </c>
      <c r="Q498" s="46"/>
    </row>
    <row r="499" spans="1:17" ht="15" customHeight="1">
      <c r="A499"/>
      <c r="B499" s="717"/>
      <c r="C499" s="22" t="s">
        <v>38</v>
      </c>
      <c r="D499" s="23">
        <v>150</v>
      </c>
      <c r="E499" s="24">
        <v>124</v>
      </c>
      <c r="F499" s="24">
        <v>131</v>
      </c>
      <c r="G499" s="24">
        <v>134</v>
      </c>
      <c r="H499" s="24">
        <v>134</v>
      </c>
      <c r="I499" s="24">
        <v>132</v>
      </c>
      <c r="J499" s="24">
        <v>114</v>
      </c>
      <c r="K499" s="24">
        <v>111</v>
      </c>
      <c r="L499" s="24">
        <v>83</v>
      </c>
      <c r="M499" s="24">
        <v>136</v>
      </c>
      <c r="N499" s="24">
        <v>145</v>
      </c>
      <c r="O499" s="24">
        <v>147</v>
      </c>
      <c r="P499" s="25">
        <f>SUM(D499:O499)</f>
        <v>1541</v>
      </c>
      <c r="Q499" s="18"/>
    </row>
    <row r="500" spans="1:17" ht="15" customHeight="1">
      <c r="A500"/>
      <c r="B500" s="717"/>
      <c r="C500" s="22" t="s">
        <v>39</v>
      </c>
      <c r="D500" s="23">
        <v>21</v>
      </c>
      <c r="E500" s="24">
        <v>0</v>
      </c>
      <c r="F500" s="24">
        <v>0</v>
      </c>
      <c r="G500" s="24">
        <v>0</v>
      </c>
      <c r="H500" s="24">
        <v>353</v>
      </c>
      <c r="I500" s="24">
        <v>150</v>
      </c>
      <c r="J500" s="24">
        <v>152</v>
      </c>
      <c r="K500" s="24">
        <v>167</v>
      </c>
      <c r="L500" s="24">
        <v>184</v>
      </c>
      <c r="M500" s="24">
        <v>268</v>
      </c>
      <c r="N500" s="24">
        <v>91</v>
      </c>
      <c r="O500" s="24">
        <v>426</v>
      </c>
      <c r="P500" s="25">
        <f>SUM(D500:O500)</f>
        <v>1812</v>
      </c>
      <c r="Q500" s="18"/>
    </row>
    <row r="501" spans="1:17" ht="15" customHeight="1" thickBot="1">
      <c r="A501"/>
      <c r="B501" s="718"/>
      <c r="C501" s="51" t="s">
        <v>6</v>
      </c>
      <c r="D501" s="52">
        <f t="shared" ref="D501:P501" si="159">SUM(D498:D500)</f>
        <v>5264</v>
      </c>
      <c r="E501" s="52">
        <f t="shared" si="159"/>
        <v>4233</v>
      </c>
      <c r="F501" s="52">
        <f t="shared" si="159"/>
        <v>4569</v>
      </c>
      <c r="G501" s="52">
        <f t="shared" si="159"/>
        <v>4977</v>
      </c>
      <c r="H501" s="52">
        <f t="shared" si="159"/>
        <v>4859</v>
      </c>
      <c r="I501" s="52">
        <f t="shared" si="159"/>
        <v>4954</v>
      </c>
      <c r="J501" s="52">
        <f t="shared" si="159"/>
        <v>4482</v>
      </c>
      <c r="K501" s="52">
        <f t="shared" si="159"/>
        <v>3672</v>
      </c>
      <c r="L501" s="52">
        <f t="shared" si="159"/>
        <v>3304</v>
      </c>
      <c r="M501" s="52">
        <f t="shared" si="159"/>
        <v>4577</v>
      </c>
      <c r="N501" s="52">
        <f t="shared" si="159"/>
        <v>4866</v>
      </c>
      <c r="O501" s="52">
        <f t="shared" si="159"/>
        <v>5024</v>
      </c>
      <c r="P501" s="53">
        <f t="shared" si="159"/>
        <v>54781</v>
      </c>
      <c r="Q501" s="18"/>
    </row>
    <row r="502" spans="1:17" ht="15" customHeight="1" thickBot="1">
      <c r="A502"/>
      <c r="B502" s="731" t="s">
        <v>40</v>
      </c>
      <c r="C502" s="732"/>
      <c r="D502" s="54">
        <f t="shared" ref="D502:P502" si="160">D488+D497+D501</f>
        <v>36250</v>
      </c>
      <c r="E502" s="54">
        <f t="shared" si="160"/>
        <v>32900</v>
      </c>
      <c r="F502" s="54">
        <f t="shared" si="160"/>
        <v>39500</v>
      </c>
      <c r="G502" s="54">
        <f t="shared" si="160"/>
        <v>40554</v>
      </c>
      <c r="H502" s="54">
        <f t="shared" si="160"/>
        <v>39500</v>
      </c>
      <c r="I502" s="54">
        <f t="shared" si="160"/>
        <v>37700</v>
      </c>
      <c r="J502" s="54">
        <f t="shared" si="160"/>
        <v>41500</v>
      </c>
      <c r="K502" s="54">
        <f t="shared" si="160"/>
        <v>39000</v>
      </c>
      <c r="L502" s="54">
        <f t="shared" si="160"/>
        <v>32123</v>
      </c>
      <c r="M502" s="54">
        <f t="shared" si="160"/>
        <v>39000</v>
      </c>
      <c r="N502" s="54">
        <f t="shared" si="160"/>
        <v>38952</v>
      </c>
      <c r="O502" s="54">
        <f t="shared" si="160"/>
        <v>41021</v>
      </c>
      <c r="P502" s="55">
        <f t="shared" si="160"/>
        <v>458000</v>
      </c>
      <c r="Q502" s="46"/>
    </row>
    <row r="503" spans="1:17" ht="15" customHeight="1">
      <c r="A503"/>
    </row>
    <row r="504" spans="1:17" ht="15" customHeight="1">
      <c r="A504"/>
      <c r="B504" s="56" t="s">
        <v>24</v>
      </c>
      <c r="C504" s="57"/>
      <c r="D504" s="58">
        <f t="shared" ref="D504:P504" si="161">D483</f>
        <v>192</v>
      </c>
      <c r="E504" s="58">
        <f t="shared" si="161"/>
        <v>133</v>
      </c>
      <c r="F504" s="58">
        <f t="shared" si="161"/>
        <v>142</v>
      </c>
      <c r="G504" s="58">
        <f t="shared" si="161"/>
        <v>125</v>
      </c>
      <c r="H504" s="58">
        <f t="shared" si="161"/>
        <v>86</v>
      </c>
      <c r="I504" s="58">
        <f t="shared" si="161"/>
        <v>42</v>
      </c>
      <c r="J504" s="58">
        <f t="shared" si="161"/>
        <v>84</v>
      </c>
      <c r="K504" s="58">
        <f t="shared" si="161"/>
        <v>1</v>
      </c>
      <c r="L504" s="58">
        <f t="shared" si="161"/>
        <v>0</v>
      </c>
      <c r="M504" s="58">
        <f t="shared" si="161"/>
        <v>0</v>
      </c>
      <c r="N504" s="58">
        <f t="shared" si="161"/>
        <v>0</v>
      </c>
      <c r="O504" s="58">
        <f t="shared" si="161"/>
        <v>0</v>
      </c>
      <c r="P504" s="58">
        <f t="shared" si="161"/>
        <v>805</v>
      </c>
    </row>
    <row r="505" spans="1:17" ht="15" customHeight="1">
      <c r="A505"/>
      <c r="B505" s="60"/>
      <c r="C505" s="61" t="s">
        <v>16</v>
      </c>
      <c r="D505" s="62">
        <v>104</v>
      </c>
      <c r="E505" s="62">
        <v>38</v>
      </c>
      <c r="F505" s="62">
        <v>38</v>
      </c>
      <c r="G505" s="62">
        <v>67</v>
      </c>
      <c r="H505" s="62">
        <v>16</v>
      </c>
      <c r="I505" s="62">
        <v>10</v>
      </c>
      <c r="J505" s="62">
        <v>13</v>
      </c>
      <c r="K505" s="62">
        <v>0</v>
      </c>
      <c r="L505" s="62">
        <v>0</v>
      </c>
      <c r="M505" s="62">
        <v>0</v>
      </c>
      <c r="N505" s="62">
        <v>0</v>
      </c>
      <c r="O505" s="62">
        <v>0</v>
      </c>
      <c r="P505" s="63">
        <f>SUM(D505:O505)</f>
        <v>286</v>
      </c>
    </row>
    <row r="506" spans="1:17" ht="15" customHeight="1">
      <c r="A506"/>
      <c r="G506" s="64"/>
      <c r="L506" s="64"/>
      <c r="P506" s="65"/>
      <c r="Q506" s="17"/>
    </row>
    <row r="507" spans="1:17" ht="15" customHeight="1">
      <c r="A507"/>
      <c r="B507" s="66" t="s">
        <v>26</v>
      </c>
      <c r="C507" s="67"/>
      <c r="D507" s="58">
        <f t="shared" ref="D507:P507" si="162">D485</f>
        <v>4108</v>
      </c>
      <c r="E507" s="58">
        <f t="shared" si="162"/>
        <v>3966</v>
      </c>
      <c r="F507" s="58">
        <f t="shared" si="162"/>
        <v>4951</v>
      </c>
      <c r="G507" s="58">
        <f t="shared" si="162"/>
        <v>4973</v>
      </c>
      <c r="H507" s="58">
        <f t="shared" si="162"/>
        <v>4373</v>
      </c>
      <c r="I507" s="58">
        <f t="shared" si="162"/>
        <v>5723</v>
      </c>
      <c r="J507" s="58">
        <f t="shared" si="162"/>
        <v>7479</v>
      </c>
      <c r="K507" s="58">
        <f t="shared" si="162"/>
        <v>5656</v>
      </c>
      <c r="L507" s="58">
        <f t="shared" si="162"/>
        <v>4887</v>
      </c>
      <c r="M507" s="58">
        <f t="shared" si="162"/>
        <v>5478</v>
      </c>
      <c r="N507" s="58">
        <f t="shared" si="162"/>
        <v>5560</v>
      </c>
      <c r="O507" s="58">
        <f t="shared" si="162"/>
        <v>5853</v>
      </c>
      <c r="P507" s="58">
        <f t="shared" si="162"/>
        <v>63007</v>
      </c>
    </row>
    <row r="508" spans="1:17" ht="15" customHeight="1">
      <c r="A508"/>
      <c r="B508" s="60"/>
      <c r="C508" s="61" t="s">
        <v>16</v>
      </c>
      <c r="D508" s="62">
        <v>618</v>
      </c>
      <c r="E508" s="62">
        <v>522</v>
      </c>
      <c r="F508" s="62">
        <v>843</v>
      </c>
      <c r="G508" s="62">
        <v>774</v>
      </c>
      <c r="H508" s="62">
        <v>704</v>
      </c>
      <c r="I508" s="62">
        <v>650</v>
      </c>
      <c r="J508" s="62">
        <v>707</v>
      </c>
      <c r="K508" s="62">
        <v>659</v>
      </c>
      <c r="L508" s="62">
        <v>650</v>
      </c>
      <c r="M508" s="62">
        <v>700</v>
      </c>
      <c r="N508" s="62">
        <v>601</v>
      </c>
      <c r="O508" s="62">
        <v>314</v>
      </c>
      <c r="P508" s="63">
        <f>SUM(D508:O508)</f>
        <v>7742</v>
      </c>
    </row>
    <row r="509" spans="1:17" ht="15" customHeight="1">
      <c r="A509"/>
      <c r="B509" s="72"/>
      <c r="C509" s="69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1"/>
    </row>
    <row r="510" spans="1:17" ht="15" customHeight="1">
      <c r="A510"/>
      <c r="G510" s="64"/>
      <c r="L510" s="64"/>
      <c r="P510" s="65"/>
      <c r="Q510" s="17"/>
    </row>
    <row r="511" spans="1:17" ht="15" customHeight="1" thickBot="1">
      <c r="A511"/>
      <c r="B511" s="16" t="s">
        <v>50</v>
      </c>
      <c r="C511" s="16"/>
    </row>
    <row r="512" spans="1:17" ht="15" customHeight="1" thickBot="1">
      <c r="A512"/>
      <c r="B512" s="710" t="s">
        <v>19</v>
      </c>
      <c r="C512" s="711"/>
      <c r="D512" s="19">
        <v>1</v>
      </c>
      <c r="E512" s="20">
        <v>2</v>
      </c>
      <c r="F512" s="20">
        <v>3</v>
      </c>
      <c r="G512" s="20">
        <v>4</v>
      </c>
      <c r="H512" s="20">
        <v>5</v>
      </c>
      <c r="I512" s="20">
        <v>6</v>
      </c>
      <c r="J512" s="20">
        <v>7</v>
      </c>
      <c r="K512" s="20">
        <v>8</v>
      </c>
      <c r="L512" s="20">
        <v>9</v>
      </c>
      <c r="M512" s="20">
        <v>10</v>
      </c>
      <c r="N512" s="20">
        <v>11</v>
      </c>
      <c r="O512" s="20">
        <v>12</v>
      </c>
      <c r="P512" s="21" t="s">
        <v>6</v>
      </c>
    </row>
    <row r="513" spans="1:17" ht="15" customHeight="1">
      <c r="A513"/>
      <c r="B513" s="712"/>
      <c r="C513" s="26" t="s">
        <v>22</v>
      </c>
      <c r="D513" s="27">
        <v>5815</v>
      </c>
      <c r="E513" s="28">
        <v>7549</v>
      </c>
      <c r="F513" s="27">
        <v>8174</v>
      </c>
      <c r="G513" s="28">
        <v>8598</v>
      </c>
      <c r="H513" s="28">
        <v>8314</v>
      </c>
      <c r="I513" s="28">
        <v>8774</v>
      </c>
      <c r="J513" s="28">
        <v>8379</v>
      </c>
      <c r="K513" s="28">
        <v>7465</v>
      </c>
      <c r="L513" s="28">
        <v>7585</v>
      </c>
      <c r="M513" s="28">
        <v>7678</v>
      </c>
      <c r="N513" s="28">
        <v>7892</v>
      </c>
      <c r="O513" s="28">
        <v>7967</v>
      </c>
      <c r="P513" s="29">
        <f t="shared" ref="P513:P523" si="163">SUM(D513:O513)</f>
        <v>94190</v>
      </c>
    </row>
    <row r="514" spans="1:17" ht="15" customHeight="1">
      <c r="A514"/>
      <c r="B514" s="712"/>
      <c r="C514" s="26" t="s">
        <v>44</v>
      </c>
      <c r="D514" s="27">
        <v>4496</v>
      </c>
      <c r="E514" s="28">
        <v>5639</v>
      </c>
      <c r="F514" s="27">
        <v>5672</v>
      </c>
      <c r="G514" s="28">
        <v>4086</v>
      </c>
      <c r="H514" s="28">
        <v>3873</v>
      </c>
      <c r="I514" s="28">
        <v>3291</v>
      </c>
      <c r="J514" s="28">
        <v>3289</v>
      </c>
      <c r="K514" s="28">
        <v>2999</v>
      </c>
      <c r="L514" s="28">
        <v>2552</v>
      </c>
      <c r="M514" s="28">
        <v>2642</v>
      </c>
      <c r="N514" s="28">
        <v>2856</v>
      </c>
      <c r="O514" s="28">
        <v>2496</v>
      </c>
      <c r="P514" s="29">
        <f t="shared" si="163"/>
        <v>43891</v>
      </c>
    </row>
    <row r="515" spans="1:17" ht="15" customHeight="1">
      <c r="A515"/>
      <c r="B515" s="712"/>
      <c r="C515" s="30" t="s">
        <v>23</v>
      </c>
      <c r="D515" s="31">
        <v>1517</v>
      </c>
      <c r="E515" s="32">
        <v>1640</v>
      </c>
      <c r="F515" s="31">
        <v>1793</v>
      </c>
      <c r="G515" s="32">
        <v>1522</v>
      </c>
      <c r="H515" s="32">
        <v>1414</v>
      </c>
      <c r="I515" s="32">
        <v>1430</v>
      </c>
      <c r="J515" s="32">
        <v>1328</v>
      </c>
      <c r="K515" s="32">
        <v>1056</v>
      </c>
      <c r="L515" s="32">
        <v>1243</v>
      </c>
      <c r="M515" s="32">
        <v>1062</v>
      </c>
      <c r="N515" s="32">
        <v>1037</v>
      </c>
      <c r="O515" s="32">
        <v>1338</v>
      </c>
      <c r="P515" s="33">
        <f t="shared" si="163"/>
        <v>16380</v>
      </c>
    </row>
    <row r="516" spans="1:17" ht="15" customHeight="1">
      <c r="A516"/>
      <c r="B516" s="712"/>
      <c r="C516" s="34"/>
      <c r="D516" s="35"/>
      <c r="E516" s="36"/>
      <c r="F516" s="35"/>
      <c r="G516" s="36"/>
      <c r="H516" s="36"/>
      <c r="I516" s="36"/>
      <c r="J516" s="36"/>
      <c r="K516" s="36"/>
      <c r="L516" s="36"/>
      <c r="M516" s="36"/>
      <c r="N516" s="36"/>
      <c r="O516" s="36"/>
      <c r="P516" s="37">
        <f t="shared" si="163"/>
        <v>0</v>
      </c>
    </row>
    <row r="517" spans="1:17" ht="15" customHeight="1">
      <c r="A517"/>
      <c r="B517" s="712"/>
      <c r="C517" s="30" t="s">
        <v>24</v>
      </c>
      <c r="D517" s="31">
        <v>1734</v>
      </c>
      <c r="E517" s="32">
        <v>1500</v>
      </c>
      <c r="F517" s="31">
        <v>1609</v>
      </c>
      <c r="G517" s="32">
        <v>1762</v>
      </c>
      <c r="H517" s="32">
        <v>1856</v>
      </c>
      <c r="I517" s="32">
        <v>2198</v>
      </c>
      <c r="J517" s="32">
        <v>1907</v>
      </c>
      <c r="K517" s="32">
        <v>1875</v>
      </c>
      <c r="L517" s="32">
        <v>1078</v>
      </c>
      <c r="M517" s="32">
        <v>271</v>
      </c>
      <c r="N517" s="32">
        <v>207</v>
      </c>
      <c r="O517" s="32">
        <v>188</v>
      </c>
      <c r="P517" s="33">
        <f t="shared" si="163"/>
        <v>16185</v>
      </c>
    </row>
    <row r="518" spans="1:17" ht="15" customHeight="1">
      <c r="A518"/>
      <c r="B518" s="712"/>
      <c r="C518" s="38" t="s">
        <v>25</v>
      </c>
      <c r="D518" s="39"/>
      <c r="E518" s="40"/>
      <c r="F518" s="39"/>
      <c r="G518" s="40"/>
      <c r="H518" s="40"/>
      <c r="I518" s="40"/>
      <c r="J518" s="40"/>
      <c r="K518" s="40"/>
      <c r="L518" s="40"/>
      <c r="M518" s="40"/>
      <c r="N518" s="40"/>
      <c r="O518" s="40"/>
      <c r="P518" s="33">
        <f t="shared" si="163"/>
        <v>0</v>
      </c>
    </row>
    <row r="519" spans="1:17" ht="15" customHeight="1">
      <c r="A519"/>
      <c r="B519" s="712"/>
      <c r="C519" s="26" t="s">
        <v>48</v>
      </c>
      <c r="D519" s="27">
        <v>0</v>
      </c>
      <c r="E519" s="28">
        <v>0</v>
      </c>
      <c r="F519" s="27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3616</v>
      </c>
      <c r="M519" s="28">
        <v>7632</v>
      </c>
      <c r="N519" s="28">
        <v>7575</v>
      </c>
      <c r="O519" s="28">
        <v>6987</v>
      </c>
      <c r="P519" s="33">
        <f t="shared" si="163"/>
        <v>25810</v>
      </c>
    </row>
    <row r="520" spans="1:17" ht="15" customHeight="1">
      <c r="A520"/>
      <c r="B520" s="712"/>
      <c r="C520" s="30" t="s">
        <v>26</v>
      </c>
      <c r="D520" s="27">
        <v>5605</v>
      </c>
      <c r="E520" s="28">
        <v>7070</v>
      </c>
      <c r="F520" s="27">
        <v>7703</v>
      </c>
      <c r="G520" s="28">
        <v>8088</v>
      </c>
      <c r="H520" s="28">
        <v>7817</v>
      </c>
      <c r="I520" s="32">
        <v>6869</v>
      </c>
      <c r="J520" s="32">
        <v>6699</v>
      </c>
      <c r="K520" s="32">
        <v>4755</v>
      </c>
      <c r="L520" s="28">
        <v>5731</v>
      </c>
      <c r="M520" s="32">
        <v>6465</v>
      </c>
      <c r="N520" s="32">
        <v>5519</v>
      </c>
      <c r="O520" s="32">
        <v>5631</v>
      </c>
      <c r="P520" s="33">
        <f t="shared" si="163"/>
        <v>77952</v>
      </c>
    </row>
    <row r="521" spans="1:17" ht="15" customHeight="1">
      <c r="A521"/>
      <c r="B521" s="712"/>
      <c r="C521" s="26" t="s">
        <v>27</v>
      </c>
      <c r="D521" s="27">
        <v>1227</v>
      </c>
      <c r="E521" s="28">
        <v>1369</v>
      </c>
      <c r="F521" s="27">
        <v>1309</v>
      </c>
      <c r="G521" s="28">
        <v>1281</v>
      </c>
      <c r="H521" s="28">
        <v>1329</v>
      </c>
      <c r="I521" s="28">
        <v>1651</v>
      </c>
      <c r="J521" s="28">
        <v>1075</v>
      </c>
      <c r="K521" s="28">
        <v>872</v>
      </c>
      <c r="L521" s="28">
        <v>1159</v>
      </c>
      <c r="M521" s="28">
        <v>1116</v>
      </c>
      <c r="N521" s="28">
        <v>3148</v>
      </c>
      <c r="O521" s="28">
        <v>4633</v>
      </c>
      <c r="P521" s="29">
        <f t="shared" si="163"/>
        <v>20169</v>
      </c>
    </row>
    <row r="522" spans="1:17" ht="15" customHeight="1">
      <c r="A522"/>
      <c r="B522" s="712"/>
      <c r="C522" s="30" t="s">
        <v>28</v>
      </c>
      <c r="D522" s="31">
        <v>695</v>
      </c>
      <c r="E522" s="32">
        <v>340</v>
      </c>
      <c r="F522" s="31">
        <v>618</v>
      </c>
      <c r="G522" s="32">
        <v>199</v>
      </c>
      <c r="H522" s="28">
        <v>1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9">
        <f t="shared" si="163"/>
        <v>1853</v>
      </c>
    </row>
    <row r="523" spans="1:17" ht="15" customHeight="1">
      <c r="A523"/>
      <c r="B523" s="712"/>
      <c r="C523" s="30" t="s">
        <v>46</v>
      </c>
      <c r="D523" s="31">
        <v>0</v>
      </c>
      <c r="E523" s="32">
        <v>0</v>
      </c>
      <c r="F523" s="31">
        <v>0</v>
      </c>
      <c r="G523" s="32">
        <v>0</v>
      </c>
      <c r="H523" s="32">
        <v>1500</v>
      </c>
      <c r="I523" s="32">
        <v>1703</v>
      </c>
      <c r="J523" s="32">
        <v>1400</v>
      </c>
      <c r="K523" s="32">
        <v>801</v>
      </c>
      <c r="L523" s="32">
        <v>700</v>
      </c>
      <c r="M523" s="32">
        <v>510</v>
      </c>
      <c r="N523" s="32">
        <v>405</v>
      </c>
      <c r="O523" s="32">
        <v>580</v>
      </c>
      <c r="P523" s="29">
        <f t="shared" si="163"/>
        <v>7599</v>
      </c>
    </row>
    <row r="524" spans="1:17" ht="15" customHeight="1">
      <c r="A524"/>
      <c r="B524" s="713"/>
      <c r="C524" s="42" t="s">
        <v>6</v>
      </c>
      <c r="D524" s="43">
        <f t="shared" ref="D524:P524" si="164">SUM(D513:D523)</f>
        <v>21089</v>
      </c>
      <c r="E524" s="43">
        <f t="shared" si="164"/>
        <v>25107</v>
      </c>
      <c r="F524" s="43">
        <f t="shared" si="164"/>
        <v>26878</v>
      </c>
      <c r="G524" s="43">
        <f t="shared" si="164"/>
        <v>25536</v>
      </c>
      <c r="H524" s="43">
        <f t="shared" si="164"/>
        <v>26104</v>
      </c>
      <c r="I524" s="43">
        <f t="shared" si="164"/>
        <v>25916</v>
      </c>
      <c r="J524" s="43">
        <f t="shared" si="164"/>
        <v>24077</v>
      </c>
      <c r="K524" s="43">
        <f t="shared" si="164"/>
        <v>19823</v>
      </c>
      <c r="L524" s="43">
        <f t="shared" si="164"/>
        <v>23664</v>
      </c>
      <c r="M524" s="43">
        <f t="shared" si="164"/>
        <v>27376</v>
      </c>
      <c r="N524" s="43">
        <f t="shared" si="164"/>
        <v>28639</v>
      </c>
      <c r="O524" s="43">
        <f t="shared" si="164"/>
        <v>29820</v>
      </c>
      <c r="P524" s="44">
        <f t="shared" si="164"/>
        <v>304029</v>
      </c>
    </row>
    <row r="525" spans="1:17" ht="15" customHeight="1">
      <c r="A525"/>
      <c r="B525" s="714" t="s">
        <v>12</v>
      </c>
      <c r="C525" s="30" t="s">
        <v>29</v>
      </c>
      <c r="D525" s="31">
        <v>260</v>
      </c>
      <c r="E525" s="32">
        <v>284</v>
      </c>
      <c r="F525" s="32">
        <v>254</v>
      </c>
      <c r="G525" s="32">
        <v>218</v>
      </c>
      <c r="H525" s="32">
        <v>316</v>
      </c>
      <c r="I525" s="32">
        <v>231</v>
      </c>
      <c r="J525" s="32">
        <v>272</v>
      </c>
      <c r="K525" s="32">
        <v>212</v>
      </c>
      <c r="L525" s="32">
        <v>234</v>
      </c>
      <c r="M525" s="32">
        <v>211</v>
      </c>
      <c r="N525" s="32">
        <v>250</v>
      </c>
      <c r="O525" s="32">
        <v>258</v>
      </c>
      <c r="P525" s="33">
        <f t="shared" ref="P525:P532" si="165">SUM(D525:O525)</f>
        <v>3000</v>
      </c>
      <c r="Q525" s="45"/>
    </row>
    <row r="526" spans="1:17" ht="15" customHeight="1">
      <c r="A526"/>
      <c r="B526" s="714"/>
      <c r="C526" s="30" t="s">
        <v>30</v>
      </c>
      <c r="D526" s="31">
        <v>2189</v>
      </c>
      <c r="E526" s="32">
        <v>2257</v>
      </c>
      <c r="F526" s="32">
        <v>2511</v>
      </c>
      <c r="G526" s="32">
        <v>2724</v>
      </c>
      <c r="H526" s="32">
        <v>2377</v>
      </c>
      <c r="I526" s="32">
        <v>2974</v>
      </c>
      <c r="J526" s="32">
        <v>2963</v>
      </c>
      <c r="K526" s="32">
        <v>2177</v>
      </c>
      <c r="L526" s="32">
        <v>2780</v>
      </c>
      <c r="M526" s="32">
        <v>2735</v>
      </c>
      <c r="N526" s="32">
        <v>2405</v>
      </c>
      <c r="O526" s="32">
        <v>2620</v>
      </c>
      <c r="P526" s="33">
        <f t="shared" si="165"/>
        <v>30712</v>
      </c>
    </row>
    <row r="527" spans="1:17" ht="15" customHeight="1">
      <c r="A527"/>
      <c r="B527" s="714"/>
      <c r="C527" s="34"/>
      <c r="D527" s="35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7">
        <f t="shared" si="165"/>
        <v>0</v>
      </c>
    </row>
    <row r="528" spans="1:17" ht="15" customHeight="1">
      <c r="A528"/>
      <c r="B528" s="714"/>
      <c r="C528" s="30" t="s">
        <v>31</v>
      </c>
      <c r="D528" s="31">
        <v>831</v>
      </c>
      <c r="E528" s="32">
        <v>707</v>
      </c>
      <c r="F528" s="32">
        <v>858</v>
      </c>
      <c r="G528" s="32">
        <v>677</v>
      </c>
      <c r="H528" s="32">
        <v>605</v>
      </c>
      <c r="I528" s="32">
        <v>533</v>
      </c>
      <c r="J528" s="32">
        <v>518</v>
      </c>
      <c r="K528" s="32">
        <v>491</v>
      </c>
      <c r="L528" s="32">
        <v>481</v>
      </c>
      <c r="M528" s="32">
        <v>325</v>
      </c>
      <c r="N528" s="32">
        <v>349</v>
      </c>
      <c r="O528" s="32">
        <v>286</v>
      </c>
      <c r="P528" s="33">
        <f t="shared" si="165"/>
        <v>6661</v>
      </c>
    </row>
    <row r="529" spans="1:17" ht="15" customHeight="1">
      <c r="A529"/>
      <c r="B529" s="714"/>
      <c r="C529" s="38" t="s">
        <v>32</v>
      </c>
      <c r="D529" s="39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1">
        <f t="shared" si="165"/>
        <v>0</v>
      </c>
    </row>
    <row r="530" spans="1:17" ht="15" customHeight="1">
      <c r="A530"/>
      <c r="B530" s="714"/>
      <c r="C530" s="30" t="s">
        <v>33</v>
      </c>
      <c r="D530" s="27">
        <v>3561</v>
      </c>
      <c r="E530" s="28">
        <v>3905</v>
      </c>
      <c r="F530" s="28">
        <v>3890</v>
      </c>
      <c r="G530" s="32">
        <v>3733</v>
      </c>
      <c r="H530" s="32">
        <v>3798</v>
      </c>
      <c r="I530" s="32">
        <v>3372</v>
      </c>
      <c r="J530" s="32">
        <v>3688</v>
      </c>
      <c r="K530" s="32">
        <v>3578</v>
      </c>
      <c r="L530" s="32">
        <v>4609</v>
      </c>
      <c r="M530" s="32">
        <v>1507</v>
      </c>
      <c r="N530" s="32">
        <v>4033</v>
      </c>
      <c r="O530" s="32">
        <v>4319</v>
      </c>
      <c r="P530" s="33">
        <f t="shared" si="165"/>
        <v>43993</v>
      </c>
    </row>
    <row r="531" spans="1:17" ht="15" customHeight="1">
      <c r="A531"/>
      <c r="B531" s="714"/>
      <c r="C531" s="26" t="s">
        <v>34</v>
      </c>
      <c r="D531" s="27">
        <v>2576</v>
      </c>
      <c r="E531" s="28">
        <v>2651</v>
      </c>
      <c r="F531" s="28">
        <v>2245</v>
      </c>
      <c r="G531" s="28">
        <v>2151</v>
      </c>
      <c r="H531" s="28">
        <v>2344</v>
      </c>
      <c r="I531" s="28">
        <v>3179</v>
      </c>
      <c r="J531" s="28">
        <v>3744</v>
      </c>
      <c r="K531" s="28">
        <v>3084</v>
      </c>
      <c r="L531" s="28">
        <v>3090</v>
      </c>
      <c r="M531" s="28">
        <v>3091</v>
      </c>
      <c r="N531" s="28">
        <v>3054</v>
      </c>
      <c r="O531" s="28">
        <v>3793</v>
      </c>
      <c r="P531" s="29">
        <f t="shared" si="165"/>
        <v>35002</v>
      </c>
      <c r="Q531" s="46"/>
    </row>
    <row r="532" spans="1:17" ht="15" customHeight="1">
      <c r="A532"/>
      <c r="B532" s="714"/>
      <c r="C532" s="30" t="s">
        <v>35</v>
      </c>
      <c r="D532" s="31">
        <v>466</v>
      </c>
      <c r="E532" s="32">
        <v>678</v>
      </c>
      <c r="F532" s="32">
        <v>624</v>
      </c>
      <c r="G532" s="32">
        <v>637</v>
      </c>
      <c r="H532" s="32">
        <v>647</v>
      </c>
      <c r="I532" s="32">
        <v>669</v>
      </c>
      <c r="J532" s="32">
        <v>681</v>
      </c>
      <c r="K532" s="32">
        <v>578</v>
      </c>
      <c r="L532" s="32">
        <v>675</v>
      </c>
      <c r="M532" s="32">
        <v>812</v>
      </c>
      <c r="N532" s="32">
        <v>229</v>
      </c>
      <c r="O532" s="32">
        <v>664</v>
      </c>
      <c r="P532" s="29">
        <f t="shared" si="165"/>
        <v>7360</v>
      </c>
      <c r="Q532" s="46"/>
    </row>
    <row r="533" spans="1:17" ht="15" customHeight="1" thickBot="1">
      <c r="A533"/>
      <c r="B533" s="715"/>
      <c r="C533" s="42" t="s">
        <v>6</v>
      </c>
      <c r="D533" s="43">
        <f t="shared" ref="D533:P533" si="166">SUM(D525:D532)</f>
        <v>9883</v>
      </c>
      <c r="E533" s="43">
        <f t="shared" si="166"/>
        <v>10482</v>
      </c>
      <c r="F533" s="43">
        <f t="shared" si="166"/>
        <v>10382</v>
      </c>
      <c r="G533" s="43">
        <f t="shared" si="166"/>
        <v>10140</v>
      </c>
      <c r="H533" s="43">
        <f t="shared" si="166"/>
        <v>10087</v>
      </c>
      <c r="I533" s="43">
        <f t="shared" si="166"/>
        <v>10958</v>
      </c>
      <c r="J533" s="43">
        <f t="shared" si="166"/>
        <v>11866</v>
      </c>
      <c r="K533" s="43">
        <f t="shared" si="166"/>
        <v>10120</v>
      </c>
      <c r="L533" s="43">
        <f t="shared" si="166"/>
        <v>11869</v>
      </c>
      <c r="M533" s="43">
        <f t="shared" si="166"/>
        <v>8681</v>
      </c>
      <c r="N533" s="43">
        <f t="shared" si="166"/>
        <v>10320</v>
      </c>
      <c r="O533" s="43">
        <f t="shared" si="166"/>
        <v>11940</v>
      </c>
      <c r="P533" s="44">
        <f t="shared" si="166"/>
        <v>126728</v>
      </c>
      <c r="Q533" s="46"/>
    </row>
    <row r="534" spans="1:17" ht="15" customHeight="1">
      <c r="A534"/>
      <c r="B534" s="716" t="s">
        <v>36</v>
      </c>
      <c r="C534" s="47" t="s">
        <v>37</v>
      </c>
      <c r="D534" s="48">
        <v>3078</v>
      </c>
      <c r="E534" s="49">
        <v>4230</v>
      </c>
      <c r="F534" s="49">
        <v>4631</v>
      </c>
      <c r="G534" s="49">
        <v>4163</v>
      </c>
      <c r="H534" s="49">
        <v>4426</v>
      </c>
      <c r="I534" s="49">
        <v>4619</v>
      </c>
      <c r="J534" s="49">
        <v>4086</v>
      </c>
      <c r="K534" s="49">
        <v>1911</v>
      </c>
      <c r="L534" s="49">
        <v>3184</v>
      </c>
      <c r="M534" s="49">
        <v>4196</v>
      </c>
      <c r="N534" s="49">
        <v>5156</v>
      </c>
      <c r="O534" s="49">
        <v>4266</v>
      </c>
      <c r="P534" s="50">
        <f>SUM(D534:O534)</f>
        <v>47946</v>
      </c>
      <c r="Q534" s="46"/>
    </row>
    <row r="535" spans="1:17" ht="15" customHeight="1">
      <c r="A535"/>
      <c r="B535" s="717"/>
      <c r="C535" s="22" t="s">
        <v>38</v>
      </c>
      <c r="D535" s="23">
        <v>135</v>
      </c>
      <c r="E535" s="24">
        <v>157</v>
      </c>
      <c r="F535" s="24">
        <v>159</v>
      </c>
      <c r="G535" s="24">
        <v>132</v>
      </c>
      <c r="H535" s="24">
        <v>133</v>
      </c>
      <c r="I535" s="24">
        <v>142</v>
      </c>
      <c r="J535" s="24">
        <v>123</v>
      </c>
      <c r="K535" s="24">
        <v>80</v>
      </c>
      <c r="L535" s="24">
        <v>100</v>
      </c>
      <c r="M535" s="24">
        <v>119</v>
      </c>
      <c r="N535" s="24">
        <v>152</v>
      </c>
      <c r="O535" s="24">
        <v>125</v>
      </c>
      <c r="P535" s="25">
        <f>SUM(D535:O535)</f>
        <v>1557</v>
      </c>
      <c r="Q535" s="18"/>
    </row>
    <row r="536" spans="1:17" ht="15" customHeight="1">
      <c r="A536"/>
      <c r="B536" s="717"/>
      <c r="C536" s="22" t="s">
        <v>39</v>
      </c>
      <c r="D536" s="23">
        <v>25</v>
      </c>
      <c r="E536" s="24">
        <v>36</v>
      </c>
      <c r="F536" s="24">
        <v>0</v>
      </c>
      <c r="G536" s="24">
        <v>34</v>
      </c>
      <c r="H536" s="24">
        <v>0</v>
      </c>
      <c r="I536" s="24">
        <v>476</v>
      </c>
      <c r="J536" s="24">
        <v>148</v>
      </c>
      <c r="K536" s="24">
        <v>144</v>
      </c>
      <c r="L536" s="24">
        <v>213</v>
      </c>
      <c r="M536" s="24">
        <v>228</v>
      </c>
      <c r="N536" s="24">
        <v>133</v>
      </c>
      <c r="O536" s="24">
        <v>363</v>
      </c>
      <c r="P536" s="25">
        <f>SUM(D536:O536)</f>
        <v>1800</v>
      </c>
      <c r="Q536" s="18"/>
    </row>
    <row r="537" spans="1:17" ht="15" customHeight="1" thickBot="1">
      <c r="A537"/>
      <c r="B537" s="718"/>
      <c r="C537" s="51" t="s">
        <v>6</v>
      </c>
      <c r="D537" s="52">
        <f t="shared" ref="D537:P537" si="167">SUM(D534:D536)</f>
        <v>3238</v>
      </c>
      <c r="E537" s="52">
        <f t="shared" si="167"/>
        <v>4423</v>
      </c>
      <c r="F537" s="52">
        <f t="shared" si="167"/>
        <v>4790</v>
      </c>
      <c r="G537" s="52">
        <f t="shared" si="167"/>
        <v>4329</v>
      </c>
      <c r="H537" s="52">
        <f t="shared" si="167"/>
        <v>4559</v>
      </c>
      <c r="I537" s="52">
        <f t="shared" si="167"/>
        <v>5237</v>
      </c>
      <c r="J537" s="52">
        <f t="shared" si="167"/>
        <v>4357</v>
      </c>
      <c r="K537" s="52">
        <f t="shared" si="167"/>
        <v>2135</v>
      </c>
      <c r="L537" s="52">
        <f t="shared" si="167"/>
        <v>3497</v>
      </c>
      <c r="M537" s="52">
        <f t="shared" si="167"/>
        <v>4543</v>
      </c>
      <c r="N537" s="52">
        <f t="shared" si="167"/>
        <v>5441</v>
      </c>
      <c r="O537" s="52">
        <f t="shared" si="167"/>
        <v>4754</v>
      </c>
      <c r="P537" s="53">
        <f t="shared" si="167"/>
        <v>51303</v>
      </c>
      <c r="Q537" s="18"/>
    </row>
    <row r="538" spans="1:17" ht="15" customHeight="1" thickBot="1">
      <c r="A538"/>
      <c r="B538" s="704" t="s">
        <v>40</v>
      </c>
      <c r="C538" s="705"/>
      <c r="D538" s="54">
        <f t="shared" ref="D538:P538" si="168">D524+D533+D537</f>
        <v>34210</v>
      </c>
      <c r="E538" s="54">
        <f t="shared" si="168"/>
        <v>40012</v>
      </c>
      <c r="F538" s="54">
        <f t="shared" si="168"/>
        <v>42050</v>
      </c>
      <c r="G538" s="54">
        <f t="shared" si="168"/>
        <v>40005</v>
      </c>
      <c r="H538" s="54">
        <f t="shared" si="168"/>
        <v>40750</v>
      </c>
      <c r="I538" s="54">
        <f t="shared" si="168"/>
        <v>42111</v>
      </c>
      <c r="J538" s="54">
        <f t="shared" si="168"/>
        <v>40300</v>
      </c>
      <c r="K538" s="54">
        <f t="shared" si="168"/>
        <v>32078</v>
      </c>
      <c r="L538" s="54">
        <f t="shared" si="168"/>
        <v>39030</v>
      </c>
      <c r="M538" s="54">
        <f t="shared" si="168"/>
        <v>40600</v>
      </c>
      <c r="N538" s="54">
        <f t="shared" si="168"/>
        <v>44400</v>
      </c>
      <c r="O538" s="54">
        <f t="shared" si="168"/>
        <v>46514</v>
      </c>
      <c r="P538" s="55">
        <f t="shared" si="168"/>
        <v>482060</v>
      </c>
      <c r="Q538" s="46"/>
    </row>
    <row r="539" spans="1:17" ht="15" customHeight="1">
      <c r="A539"/>
    </row>
    <row r="540" spans="1:17" ht="15" customHeight="1">
      <c r="A540"/>
      <c r="B540" s="56" t="s">
        <v>24</v>
      </c>
      <c r="C540" s="57"/>
      <c r="D540" s="58">
        <f t="shared" ref="D540:P540" si="169">D517</f>
        <v>1734</v>
      </c>
      <c r="E540" s="58">
        <f t="shared" si="169"/>
        <v>1500</v>
      </c>
      <c r="F540" s="58">
        <f t="shared" si="169"/>
        <v>1609</v>
      </c>
      <c r="G540" s="58">
        <f t="shared" si="169"/>
        <v>1762</v>
      </c>
      <c r="H540" s="58">
        <f t="shared" si="169"/>
        <v>1856</v>
      </c>
      <c r="I540" s="58">
        <f t="shared" si="169"/>
        <v>2198</v>
      </c>
      <c r="J540" s="58">
        <f t="shared" si="169"/>
        <v>1907</v>
      </c>
      <c r="K540" s="58">
        <f t="shared" si="169"/>
        <v>1875</v>
      </c>
      <c r="L540" s="58">
        <f t="shared" si="169"/>
        <v>1078</v>
      </c>
      <c r="M540" s="58">
        <f t="shared" si="169"/>
        <v>271</v>
      </c>
      <c r="N540" s="58">
        <f t="shared" si="169"/>
        <v>207</v>
      </c>
      <c r="O540" s="58">
        <f t="shared" si="169"/>
        <v>188</v>
      </c>
      <c r="P540" s="58">
        <f t="shared" si="169"/>
        <v>16185</v>
      </c>
    </row>
    <row r="541" spans="1:17" ht="15" customHeight="1">
      <c r="A541"/>
      <c r="B541" s="60"/>
      <c r="C541" s="61" t="s">
        <v>16</v>
      </c>
      <c r="D541" s="62">
        <v>75</v>
      </c>
      <c r="E541" s="62">
        <v>34</v>
      </c>
      <c r="F541" s="62">
        <v>166</v>
      </c>
      <c r="G541" s="62">
        <v>66</v>
      </c>
      <c r="H541" s="62">
        <v>48</v>
      </c>
      <c r="I541" s="62">
        <v>70</v>
      </c>
      <c r="J541" s="62">
        <v>78</v>
      </c>
      <c r="K541" s="62">
        <v>84</v>
      </c>
      <c r="L541" s="62">
        <v>70</v>
      </c>
      <c r="M541" s="62">
        <v>73</v>
      </c>
      <c r="N541" s="62">
        <v>20</v>
      </c>
      <c r="O541" s="62">
        <v>29</v>
      </c>
      <c r="P541" s="63">
        <f>SUM(D541:O541)</f>
        <v>813</v>
      </c>
    </row>
    <row r="542" spans="1:17" ht="15" customHeight="1">
      <c r="A542"/>
      <c r="G542" s="64"/>
      <c r="L542" s="64"/>
      <c r="P542" s="65"/>
      <c r="Q542" s="17"/>
    </row>
    <row r="543" spans="1:17" ht="15" customHeight="1">
      <c r="A543"/>
      <c r="B543" s="66" t="s">
        <v>26</v>
      </c>
      <c r="C543" s="67"/>
      <c r="D543" s="58">
        <f t="shared" ref="D543:P543" si="170">D520</f>
        <v>5605</v>
      </c>
      <c r="E543" s="58">
        <f t="shared" si="170"/>
        <v>7070</v>
      </c>
      <c r="F543" s="58">
        <f t="shared" si="170"/>
        <v>7703</v>
      </c>
      <c r="G543" s="58">
        <f t="shared" si="170"/>
        <v>8088</v>
      </c>
      <c r="H543" s="58">
        <f t="shared" si="170"/>
        <v>7817</v>
      </c>
      <c r="I543" s="58">
        <f t="shared" si="170"/>
        <v>6869</v>
      </c>
      <c r="J543" s="58">
        <f t="shared" si="170"/>
        <v>6699</v>
      </c>
      <c r="K543" s="58">
        <f t="shared" si="170"/>
        <v>4755</v>
      </c>
      <c r="L543" s="58">
        <f t="shared" si="170"/>
        <v>5731</v>
      </c>
      <c r="M543" s="58">
        <f t="shared" si="170"/>
        <v>6465</v>
      </c>
      <c r="N543" s="58">
        <f t="shared" si="170"/>
        <v>5519</v>
      </c>
      <c r="O543" s="58">
        <f t="shared" si="170"/>
        <v>5631</v>
      </c>
      <c r="P543" s="58">
        <f t="shared" si="170"/>
        <v>77952</v>
      </c>
    </row>
    <row r="544" spans="1:17" ht="15" customHeight="1">
      <c r="A544"/>
      <c r="B544" s="60"/>
      <c r="C544" s="61" t="s">
        <v>16</v>
      </c>
      <c r="D544" s="62">
        <v>541</v>
      </c>
      <c r="E544" s="62">
        <v>750</v>
      </c>
      <c r="F544" s="62">
        <v>758</v>
      </c>
      <c r="G544" s="62">
        <v>800</v>
      </c>
      <c r="H544" s="62">
        <v>1028</v>
      </c>
      <c r="I544" s="62">
        <v>876</v>
      </c>
      <c r="J544" s="62">
        <v>1128</v>
      </c>
      <c r="K544" s="62">
        <v>596</v>
      </c>
      <c r="L544" s="62">
        <v>673</v>
      </c>
      <c r="M544" s="62">
        <v>1327</v>
      </c>
      <c r="N544" s="62">
        <v>1164</v>
      </c>
      <c r="O544" s="62">
        <v>1260</v>
      </c>
      <c r="P544" s="63">
        <f>SUM(D544:O544)</f>
        <v>10901</v>
      </c>
    </row>
    <row r="545" spans="1:17" ht="15" customHeight="1">
      <c r="A545"/>
      <c r="G545" s="64"/>
      <c r="L545" s="64"/>
      <c r="P545" s="65"/>
      <c r="Q545" s="17"/>
    </row>
    <row r="546" spans="1:17" ht="15" customHeight="1">
      <c r="A546"/>
    </row>
    <row r="547" spans="1:17" ht="15" customHeight="1" thickBot="1">
      <c r="A547"/>
      <c r="B547" s="16" t="s">
        <v>51</v>
      </c>
      <c r="C547" s="16"/>
    </row>
    <row r="548" spans="1:17" ht="15" customHeight="1" thickBot="1">
      <c r="A548"/>
      <c r="B548" s="710" t="s">
        <v>19</v>
      </c>
      <c r="C548" s="711"/>
      <c r="D548" s="19">
        <v>1</v>
      </c>
      <c r="E548" s="20">
        <v>2</v>
      </c>
      <c r="F548" s="20">
        <v>3</v>
      </c>
      <c r="G548" s="20">
        <v>4</v>
      </c>
      <c r="H548" s="20">
        <v>5</v>
      </c>
      <c r="I548" s="20">
        <v>6</v>
      </c>
      <c r="J548" s="20">
        <v>7</v>
      </c>
      <c r="K548" s="20">
        <v>8</v>
      </c>
      <c r="L548" s="20">
        <v>9</v>
      </c>
      <c r="M548" s="20">
        <v>10</v>
      </c>
      <c r="N548" s="20">
        <v>11</v>
      </c>
      <c r="O548" s="20">
        <v>12</v>
      </c>
      <c r="P548" s="21" t="s">
        <v>6</v>
      </c>
    </row>
    <row r="549" spans="1:17" ht="15" customHeight="1">
      <c r="A549"/>
      <c r="B549" s="712" t="s">
        <v>20</v>
      </c>
      <c r="C549" s="22" t="s">
        <v>21</v>
      </c>
      <c r="D549" s="23">
        <v>6405</v>
      </c>
      <c r="E549" s="24">
        <v>134</v>
      </c>
      <c r="F549" s="23">
        <v>5</v>
      </c>
      <c r="G549" s="24">
        <v>1</v>
      </c>
      <c r="H549" s="24">
        <v>1</v>
      </c>
      <c r="I549" s="24">
        <v>1</v>
      </c>
      <c r="J549" s="24"/>
      <c r="K549" s="24"/>
      <c r="L549" s="24"/>
      <c r="M549" s="24"/>
      <c r="N549" s="24"/>
      <c r="O549" s="24"/>
      <c r="P549" s="25">
        <f t="shared" ref="P549:P559" si="171">SUM(D549:O549)</f>
        <v>6547</v>
      </c>
    </row>
    <row r="550" spans="1:17" ht="15" customHeight="1">
      <c r="A550"/>
      <c r="B550" s="712"/>
      <c r="C550" s="26" t="s">
        <v>22</v>
      </c>
      <c r="D550" s="27">
        <v>1810</v>
      </c>
      <c r="E550" s="28">
        <v>12160</v>
      </c>
      <c r="F550" s="27">
        <v>11497</v>
      </c>
      <c r="G550" s="28">
        <v>9358</v>
      </c>
      <c r="H550" s="28">
        <v>9471</v>
      </c>
      <c r="I550" s="28">
        <v>10231</v>
      </c>
      <c r="J550" s="28">
        <v>9930</v>
      </c>
      <c r="K550" s="28">
        <v>9834</v>
      </c>
      <c r="L550" s="28">
        <v>10330</v>
      </c>
      <c r="M550" s="28">
        <v>9677</v>
      </c>
      <c r="N550" s="28">
        <v>8042</v>
      </c>
      <c r="O550" s="28">
        <v>8142</v>
      </c>
      <c r="P550" s="29">
        <f t="shared" si="171"/>
        <v>110482</v>
      </c>
    </row>
    <row r="551" spans="1:17" ht="15" customHeight="1">
      <c r="A551"/>
      <c r="B551" s="712"/>
      <c r="C551" s="26" t="s">
        <v>44</v>
      </c>
      <c r="D551" s="27"/>
      <c r="E551" s="28"/>
      <c r="F551" s="27"/>
      <c r="G551" s="28"/>
      <c r="H551" s="28"/>
      <c r="I551" s="28"/>
      <c r="J551" s="28"/>
      <c r="K551" s="28"/>
      <c r="L551" s="28"/>
      <c r="M551" s="28"/>
      <c r="N551" s="28"/>
      <c r="O551" s="28">
        <v>4107</v>
      </c>
      <c r="P551" s="29">
        <f t="shared" si="171"/>
        <v>4107</v>
      </c>
    </row>
    <row r="552" spans="1:17" ht="15" customHeight="1">
      <c r="A552"/>
      <c r="B552" s="712"/>
      <c r="C552" s="30" t="s">
        <v>43</v>
      </c>
      <c r="D552" s="31">
        <v>1018</v>
      </c>
      <c r="E552" s="32">
        <v>709</v>
      </c>
      <c r="F552" s="31">
        <v>1093</v>
      </c>
      <c r="G552" s="32">
        <v>1005</v>
      </c>
      <c r="H552" s="32">
        <v>1046</v>
      </c>
      <c r="I552" s="32">
        <v>1022</v>
      </c>
      <c r="J552" s="32">
        <v>1120</v>
      </c>
      <c r="K552" s="32">
        <v>1430</v>
      </c>
      <c r="L552" s="28">
        <v>1242</v>
      </c>
      <c r="M552" s="28">
        <v>71</v>
      </c>
      <c r="N552" s="28">
        <v>0</v>
      </c>
      <c r="O552" s="28">
        <v>0</v>
      </c>
      <c r="P552" s="29">
        <f t="shared" si="171"/>
        <v>9756</v>
      </c>
    </row>
    <row r="553" spans="1:17" ht="15" customHeight="1">
      <c r="A553"/>
      <c r="B553" s="712"/>
      <c r="C553" s="30" t="s">
        <v>23</v>
      </c>
      <c r="D553" s="31"/>
      <c r="E553" s="32"/>
      <c r="F553" s="31"/>
      <c r="G553" s="32"/>
      <c r="H553" s="32"/>
      <c r="I553" s="32"/>
      <c r="J553" s="32"/>
      <c r="K553" s="32"/>
      <c r="L553" s="32">
        <v>69</v>
      </c>
      <c r="M553" s="32">
        <v>1551</v>
      </c>
      <c r="N553" s="32">
        <v>2109</v>
      </c>
      <c r="O553" s="32">
        <v>2052</v>
      </c>
      <c r="P553" s="33">
        <f t="shared" si="171"/>
        <v>5781</v>
      </c>
    </row>
    <row r="554" spans="1:17" ht="15" customHeight="1">
      <c r="A554"/>
      <c r="B554" s="712"/>
      <c r="C554" s="34"/>
      <c r="D554" s="35"/>
      <c r="E554" s="36"/>
      <c r="F554" s="35"/>
      <c r="G554" s="36"/>
      <c r="H554" s="36"/>
      <c r="I554" s="36"/>
      <c r="J554" s="36"/>
      <c r="K554" s="36"/>
      <c r="L554" s="36"/>
      <c r="M554" s="36"/>
      <c r="N554" s="36"/>
      <c r="O554" s="36"/>
      <c r="P554" s="37">
        <f t="shared" si="171"/>
        <v>0</v>
      </c>
    </row>
    <row r="555" spans="1:17" ht="15" customHeight="1">
      <c r="A555"/>
      <c r="B555" s="712"/>
      <c r="C555" s="30" t="s">
        <v>24</v>
      </c>
      <c r="D555" s="31">
        <v>3156</v>
      </c>
      <c r="E555" s="32">
        <v>2815</v>
      </c>
      <c r="F555" s="31">
        <v>3458</v>
      </c>
      <c r="G555" s="32">
        <v>3637</v>
      </c>
      <c r="H555" s="32">
        <v>3393</v>
      </c>
      <c r="I555" s="32">
        <v>3029</v>
      </c>
      <c r="J555" s="32">
        <v>2707</v>
      </c>
      <c r="K555" s="32">
        <v>2613</v>
      </c>
      <c r="L555" s="32">
        <v>2697</v>
      </c>
      <c r="M555" s="32">
        <v>2201</v>
      </c>
      <c r="N555" s="32">
        <v>2922</v>
      </c>
      <c r="O555" s="32">
        <v>1761</v>
      </c>
      <c r="P555" s="33">
        <f t="shared" si="171"/>
        <v>34389</v>
      </c>
    </row>
    <row r="556" spans="1:17" ht="15" customHeight="1">
      <c r="A556"/>
      <c r="B556" s="712"/>
      <c r="C556" s="38" t="s">
        <v>25</v>
      </c>
      <c r="D556" s="39"/>
      <c r="E556" s="40"/>
      <c r="F556" s="39"/>
      <c r="G556" s="40"/>
      <c r="H556" s="40"/>
      <c r="I556" s="40"/>
      <c r="J556" s="40"/>
      <c r="K556" s="40"/>
      <c r="L556" s="40"/>
      <c r="M556" s="40"/>
      <c r="N556" s="40"/>
      <c r="O556" s="40"/>
      <c r="P556" s="41">
        <f t="shared" si="171"/>
        <v>0</v>
      </c>
    </row>
    <row r="557" spans="1:17" ht="15" customHeight="1">
      <c r="A557"/>
      <c r="B557" s="712"/>
      <c r="C557" s="30" t="s">
        <v>26</v>
      </c>
      <c r="D557" s="27">
        <v>6803</v>
      </c>
      <c r="E557" s="28">
        <v>6216</v>
      </c>
      <c r="F557" s="27">
        <v>7627</v>
      </c>
      <c r="G557" s="28">
        <v>7163</v>
      </c>
      <c r="H557" s="28">
        <v>6087</v>
      </c>
      <c r="I557" s="32">
        <v>7085</v>
      </c>
      <c r="J557" s="32">
        <v>7051</v>
      </c>
      <c r="K557" s="32">
        <v>5920</v>
      </c>
      <c r="L557" s="28">
        <v>9475</v>
      </c>
      <c r="M557" s="32">
        <v>9138</v>
      </c>
      <c r="N557" s="32">
        <v>7162</v>
      </c>
      <c r="O557" s="32">
        <v>7725</v>
      </c>
      <c r="P557" s="33">
        <f t="shared" si="171"/>
        <v>87452</v>
      </c>
    </row>
    <row r="558" spans="1:17" ht="15" customHeight="1">
      <c r="A558"/>
      <c r="B558" s="712"/>
      <c r="C558" s="26" t="s">
        <v>27</v>
      </c>
      <c r="D558" s="27">
        <v>2403</v>
      </c>
      <c r="E558" s="28">
        <v>1344</v>
      </c>
      <c r="F558" s="27">
        <v>3116</v>
      </c>
      <c r="G558" s="28">
        <v>2649</v>
      </c>
      <c r="H558" s="28">
        <v>2213</v>
      </c>
      <c r="I558" s="28">
        <v>1910</v>
      </c>
      <c r="J558" s="28">
        <v>1531</v>
      </c>
      <c r="K558" s="28">
        <v>1602</v>
      </c>
      <c r="L558" s="28">
        <v>1588</v>
      </c>
      <c r="M558" s="28">
        <v>1405</v>
      </c>
      <c r="N558" s="28">
        <v>1790</v>
      </c>
      <c r="O558" s="28">
        <v>2157</v>
      </c>
      <c r="P558" s="29">
        <f t="shared" si="171"/>
        <v>23708</v>
      </c>
    </row>
    <row r="559" spans="1:17" ht="15" customHeight="1">
      <c r="A559"/>
      <c r="B559" s="712"/>
      <c r="C559" s="30" t="s">
        <v>28</v>
      </c>
      <c r="D559" s="31">
        <v>756</v>
      </c>
      <c r="E559" s="32">
        <v>500</v>
      </c>
      <c r="F559" s="31">
        <v>642</v>
      </c>
      <c r="G559" s="32">
        <v>284</v>
      </c>
      <c r="H559" s="32">
        <v>377</v>
      </c>
      <c r="I559" s="32">
        <v>425</v>
      </c>
      <c r="J559" s="32">
        <v>379</v>
      </c>
      <c r="K559" s="32">
        <v>323</v>
      </c>
      <c r="L559" s="32">
        <v>334</v>
      </c>
      <c r="M559" s="32">
        <v>506</v>
      </c>
      <c r="N559" s="32">
        <v>447</v>
      </c>
      <c r="O559" s="32">
        <v>627</v>
      </c>
      <c r="P559" s="33">
        <f t="shared" si="171"/>
        <v>5600</v>
      </c>
    </row>
    <row r="560" spans="1:17" ht="15" customHeight="1">
      <c r="A560"/>
      <c r="B560" s="713"/>
      <c r="C560" s="42" t="s">
        <v>6</v>
      </c>
      <c r="D560" s="43">
        <f t="shared" ref="D560:P560" si="172">SUM(D549:D559)</f>
        <v>22351</v>
      </c>
      <c r="E560" s="43">
        <f t="shared" si="172"/>
        <v>23878</v>
      </c>
      <c r="F560" s="43">
        <f t="shared" si="172"/>
        <v>27438</v>
      </c>
      <c r="G560" s="43">
        <f t="shared" si="172"/>
        <v>24097</v>
      </c>
      <c r="H560" s="43">
        <f t="shared" si="172"/>
        <v>22588</v>
      </c>
      <c r="I560" s="43">
        <f t="shared" si="172"/>
        <v>23703</v>
      </c>
      <c r="J560" s="43">
        <f t="shared" si="172"/>
        <v>22718</v>
      </c>
      <c r="K560" s="43">
        <f t="shared" si="172"/>
        <v>21722</v>
      </c>
      <c r="L560" s="43">
        <f t="shared" si="172"/>
        <v>25735</v>
      </c>
      <c r="M560" s="43">
        <f t="shared" si="172"/>
        <v>24549</v>
      </c>
      <c r="N560" s="43">
        <f t="shared" si="172"/>
        <v>22472</v>
      </c>
      <c r="O560" s="43">
        <f t="shared" si="172"/>
        <v>26571</v>
      </c>
      <c r="P560" s="44">
        <f t="shared" si="172"/>
        <v>287822</v>
      </c>
    </row>
    <row r="561" spans="1:17" ht="15" customHeight="1">
      <c r="A561"/>
      <c r="B561" s="714" t="s">
        <v>12</v>
      </c>
      <c r="C561" s="30" t="s">
        <v>29</v>
      </c>
      <c r="D561" s="31">
        <v>388</v>
      </c>
      <c r="E561" s="32">
        <v>322</v>
      </c>
      <c r="F561" s="32">
        <v>438</v>
      </c>
      <c r="G561" s="32">
        <v>441</v>
      </c>
      <c r="H561" s="32">
        <v>461</v>
      </c>
      <c r="I561" s="32">
        <v>440</v>
      </c>
      <c r="J561" s="32">
        <v>444</v>
      </c>
      <c r="K561" s="32">
        <v>417</v>
      </c>
      <c r="L561" s="32">
        <v>351</v>
      </c>
      <c r="M561" s="32">
        <v>296</v>
      </c>
      <c r="N561" s="32">
        <v>335</v>
      </c>
      <c r="O561" s="32">
        <v>358</v>
      </c>
      <c r="P561" s="33">
        <f t="shared" ref="P561:P568" si="173">SUM(D561:O561)</f>
        <v>4691</v>
      </c>
      <c r="Q561" s="45"/>
    </row>
    <row r="562" spans="1:17" ht="15" customHeight="1">
      <c r="A562"/>
      <c r="B562" s="714"/>
      <c r="C562" s="30" t="s">
        <v>61</v>
      </c>
      <c r="D562" s="31">
        <v>2719</v>
      </c>
      <c r="E562" s="32">
        <v>2190</v>
      </c>
      <c r="F562" s="32">
        <v>2683</v>
      </c>
      <c r="G562" s="32">
        <v>342</v>
      </c>
      <c r="H562" s="32">
        <v>2157</v>
      </c>
      <c r="I562" s="32">
        <v>3228</v>
      </c>
      <c r="J562" s="32">
        <v>2702</v>
      </c>
      <c r="K562" s="32">
        <v>2071</v>
      </c>
      <c r="L562" s="32">
        <v>1844</v>
      </c>
      <c r="M562" s="32">
        <v>2262</v>
      </c>
      <c r="N562" s="32">
        <v>2424</v>
      </c>
      <c r="O562" s="32">
        <v>2469</v>
      </c>
      <c r="P562" s="33">
        <f t="shared" si="173"/>
        <v>27091</v>
      </c>
    </row>
    <row r="563" spans="1:17" ht="15" customHeight="1">
      <c r="A563"/>
      <c r="B563" s="714"/>
      <c r="C563" s="34"/>
      <c r="D563" s="35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7">
        <f t="shared" si="173"/>
        <v>0</v>
      </c>
    </row>
    <row r="564" spans="1:17" ht="15" customHeight="1">
      <c r="A564"/>
      <c r="B564" s="714"/>
      <c r="C564" s="30" t="s">
        <v>31</v>
      </c>
      <c r="D564" s="31">
        <v>1727</v>
      </c>
      <c r="E564" s="32">
        <v>1338</v>
      </c>
      <c r="F564" s="32">
        <v>1398</v>
      </c>
      <c r="G564" s="32">
        <v>1693</v>
      </c>
      <c r="H564" s="32">
        <v>1642</v>
      </c>
      <c r="I564" s="32">
        <v>1464</v>
      </c>
      <c r="J564" s="32">
        <v>1519</v>
      </c>
      <c r="K564" s="32">
        <v>1534</v>
      </c>
      <c r="L564" s="32">
        <v>1328</v>
      </c>
      <c r="M564" s="32">
        <v>1002</v>
      </c>
      <c r="N564" s="32">
        <v>1209</v>
      </c>
      <c r="O564" s="32">
        <v>938</v>
      </c>
      <c r="P564" s="33">
        <f t="shared" si="173"/>
        <v>16792</v>
      </c>
    </row>
    <row r="565" spans="1:17" ht="15" customHeight="1">
      <c r="A565"/>
      <c r="B565" s="714"/>
      <c r="C565" s="38" t="s">
        <v>32</v>
      </c>
      <c r="D565" s="39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1">
        <f t="shared" si="173"/>
        <v>0</v>
      </c>
    </row>
    <row r="566" spans="1:17" ht="15" customHeight="1">
      <c r="A566"/>
      <c r="B566" s="714"/>
      <c r="C566" s="30" t="s">
        <v>33</v>
      </c>
      <c r="D566" s="27">
        <v>4786</v>
      </c>
      <c r="E566" s="28">
        <v>3468</v>
      </c>
      <c r="F566" s="28">
        <v>4621</v>
      </c>
      <c r="G566" s="32">
        <v>5878</v>
      </c>
      <c r="H566" s="32">
        <v>3153</v>
      </c>
      <c r="I566" s="32">
        <v>4797</v>
      </c>
      <c r="J566" s="32">
        <v>4759</v>
      </c>
      <c r="K566" s="32">
        <v>3472</v>
      </c>
      <c r="L566" s="32">
        <v>4066</v>
      </c>
      <c r="M566" s="32">
        <v>4370</v>
      </c>
      <c r="N566" s="32">
        <v>3849</v>
      </c>
      <c r="O566" s="32">
        <v>4799</v>
      </c>
      <c r="P566" s="33">
        <f t="shared" si="173"/>
        <v>52018</v>
      </c>
    </row>
    <row r="567" spans="1:17" ht="15" customHeight="1">
      <c r="A567"/>
      <c r="B567" s="714"/>
      <c r="C567" s="26" t="s">
        <v>34</v>
      </c>
      <c r="D567" s="27">
        <v>3614</v>
      </c>
      <c r="E567" s="28">
        <v>3308</v>
      </c>
      <c r="F567" s="28">
        <v>3436</v>
      </c>
      <c r="G567" s="28">
        <v>4539</v>
      </c>
      <c r="H567" s="28">
        <v>3234</v>
      </c>
      <c r="I567" s="28">
        <v>3189</v>
      </c>
      <c r="J567" s="28">
        <v>3218</v>
      </c>
      <c r="K567" s="28">
        <v>2791</v>
      </c>
      <c r="L567" s="28">
        <v>3218</v>
      </c>
      <c r="M567" s="28">
        <v>3286</v>
      </c>
      <c r="N567" s="28">
        <v>3125</v>
      </c>
      <c r="O567" s="28">
        <v>3644</v>
      </c>
      <c r="P567" s="29">
        <f t="shared" si="173"/>
        <v>40602</v>
      </c>
      <c r="Q567" s="46"/>
    </row>
    <row r="568" spans="1:17" ht="15" customHeight="1">
      <c r="A568"/>
      <c r="B568" s="714"/>
      <c r="C568" s="30" t="s">
        <v>35</v>
      </c>
      <c r="D568" s="31">
        <v>683</v>
      </c>
      <c r="E568" s="32">
        <v>603</v>
      </c>
      <c r="F568" s="32">
        <v>553</v>
      </c>
      <c r="G568" s="32">
        <v>609</v>
      </c>
      <c r="H568" s="32">
        <v>405</v>
      </c>
      <c r="I568" s="32">
        <v>505</v>
      </c>
      <c r="J568" s="32">
        <v>694</v>
      </c>
      <c r="K568" s="32">
        <v>773</v>
      </c>
      <c r="L568" s="32">
        <v>796</v>
      </c>
      <c r="M568" s="32">
        <v>663</v>
      </c>
      <c r="N568" s="32">
        <v>509</v>
      </c>
      <c r="O568" s="32">
        <v>863</v>
      </c>
      <c r="P568" s="29">
        <f t="shared" si="173"/>
        <v>7656</v>
      </c>
      <c r="Q568" s="46"/>
    </row>
    <row r="569" spans="1:17" ht="15" customHeight="1" thickBot="1">
      <c r="A569"/>
      <c r="B569" s="715"/>
      <c r="C569" s="42" t="s">
        <v>6</v>
      </c>
      <c r="D569" s="43">
        <f t="shared" ref="D569:P569" si="174">SUM(D561:D568)</f>
        <v>13917</v>
      </c>
      <c r="E569" s="43">
        <f t="shared" si="174"/>
        <v>11229</v>
      </c>
      <c r="F569" s="43">
        <f t="shared" si="174"/>
        <v>13129</v>
      </c>
      <c r="G569" s="43">
        <f t="shared" si="174"/>
        <v>13502</v>
      </c>
      <c r="H569" s="43">
        <f t="shared" si="174"/>
        <v>11052</v>
      </c>
      <c r="I569" s="43">
        <f t="shared" si="174"/>
        <v>13623</v>
      </c>
      <c r="J569" s="43">
        <f t="shared" si="174"/>
        <v>13336</v>
      </c>
      <c r="K569" s="43">
        <f t="shared" si="174"/>
        <v>11058</v>
      </c>
      <c r="L569" s="43">
        <f t="shared" si="174"/>
        <v>11603</v>
      </c>
      <c r="M569" s="43">
        <f t="shared" si="174"/>
        <v>11879</v>
      </c>
      <c r="N569" s="43">
        <f t="shared" si="174"/>
        <v>11451</v>
      </c>
      <c r="O569" s="43">
        <f t="shared" si="174"/>
        <v>13071</v>
      </c>
      <c r="P569" s="44">
        <f t="shared" si="174"/>
        <v>148850</v>
      </c>
      <c r="Q569" s="46"/>
    </row>
    <row r="570" spans="1:17" ht="15" customHeight="1">
      <c r="A570"/>
      <c r="B570" s="716" t="s">
        <v>36</v>
      </c>
      <c r="C570" s="47" t="s">
        <v>37</v>
      </c>
      <c r="D570" s="48">
        <v>4053</v>
      </c>
      <c r="E570" s="49">
        <v>3746</v>
      </c>
      <c r="F570" s="49">
        <v>5351</v>
      </c>
      <c r="G570" s="49">
        <v>4768</v>
      </c>
      <c r="H570" s="49">
        <v>4031</v>
      </c>
      <c r="I570" s="49">
        <v>4484</v>
      </c>
      <c r="J570" s="49">
        <v>4306</v>
      </c>
      <c r="K570" s="49">
        <v>3518</v>
      </c>
      <c r="L570" s="49">
        <v>4291</v>
      </c>
      <c r="M570" s="49">
        <v>4476</v>
      </c>
      <c r="N570" s="49">
        <v>4809</v>
      </c>
      <c r="O570" s="49">
        <v>5031</v>
      </c>
      <c r="P570" s="50">
        <f>SUM(D570:O570)</f>
        <v>52864</v>
      </c>
      <c r="Q570" s="46"/>
    </row>
    <row r="571" spans="1:17" ht="15" customHeight="1">
      <c r="A571"/>
      <c r="B571" s="717"/>
      <c r="C571" s="22" t="s">
        <v>38</v>
      </c>
      <c r="D571" s="23">
        <v>181</v>
      </c>
      <c r="E571" s="24">
        <v>176</v>
      </c>
      <c r="F571" s="24">
        <v>182</v>
      </c>
      <c r="G571" s="24">
        <v>134</v>
      </c>
      <c r="H571" s="24">
        <v>105</v>
      </c>
      <c r="I571" s="24">
        <v>91</v>
      </c>
      <c r="J571" s="24">
        <v>131</v>
      </c>
      <c r="K571" s="24">
        <v>102</v>
      </c>
      <c r="L571" s="24">
        <v>132</v>
      </c>
      <c r="M571" s="24">
        <v>130</v>
      </c>
      <c r="N571" s="24">
        <v>113</v>
      </c>
      <c r="O571" s="24">
        <v>118</v>
      </c>
      <c r="P571" s="25">
        <f>SUM(D571:O571)</f>
        <v>1595</v>
      </c>
      <c r="Q571" s="18"/>
    </row>
    <row r="572" spans="1:17" ht="15" customHeight="1">
      <c r="A572"/>
      <c r="B572" s="717"/>
      <c r="C572" s="22" t="s">
        <v>39</v>
      </c>
      <c r="D572" s="23">
        <v>0</v>
      </c>
      <c r="E572" s="24">
        <v>0</v>
      </c>
      <c r="F572" s="24">
        <v>0</v>
      </c>
      <c r="G572" s="24">
        <v>1</v>
      </c>
      <c r="H572" s="24">
        <v>236</v>
      </c>
      <c r="I572" s="24">
        <v>299</v>
      </c>
      <c r="J572" s="24">
        <v>215</v>
      </c>
      <c r="K572" s="24">
        <v>211</v>
      </c>
      <c r="L572" s="24">
        <v>191</v>
      </c>
      <c r="M572" s="24">
        <v>268</v>
      </c>
      <c r="N572" s="24">
        <v>186</v>
      </c>
      <c r="O572" s="24">
        <v>265</v>
      </c>
      <c r="P572" s="25">
        <f>SUM(D572:O572)</f>
        <v>1872</v>
      </c>
      <c r="Q572" s="18"/>
    </row>
    <row r="573" spans="1:17" ht="15" customHeight="1" thickBot="1">
      <c r="A573"/>
      <c r="B573" s="718"/>
      <c r="C573" s="51" t="s">
        <v>6</v>
      </c>
      <c r="D573" s="52">
        <f t="shared" ref="D573:P573" si="175">SUM(D570:D572)</f>
        <v>4234</v>
      </c>
      <c r="E573" s="52">
        <f t="shared" si="175"/>
        <v>3922</v>
      </c>
      <c r="F573" s="52">
        <f t="shared" si="175"/>
        <v>5533</v>
      </c>
      <c r="G573" s="52">
        <f t="shared" si="175"/>
        <v>4903</v>
      </c>
      <c r="H573" s="52">
        <f t="shared" si="175"/>
        <v>4372</v>
      </c>
      <c r="I573" s="52">
        <f t="shared" si="175"/>
        <v>4874</v>
      </c>
      <c r="J573" s="52">
        <f t="shared" si="175"/>
        <v>4652</v>
      </c>
      <c r="K573" s="52">
        <f t="shared" si="175"/>
        <v>3831</v>
      </c>
      <c r="L573" s="52">
        <f t="shared" si="175"/>
        <v>4614</v>
      </c>
      <c r="M573" s="52">
        <f t="shared" si="175"/>
        <v>4874</v>
      </c>
      <c r="N573" s="52">
        <f t="shared" si="175"/>
        <v>5108</v>
      </c>
      <c r="O573" s="52">
        <f t="shared" si="175"/>
        <v>5414</v>
      </c>
      <c r="P573" s="53">
        <f t="shared" si="175"/>
        <v>56331</v>
      </c>
      <c r="Q573" s="18"/>
    </row>
    <row r="574" spans="1:17" ht="15" customHeight="1" thickBot="1">
      <c r="A574"/>
      <c r="B574" s="704" t="s">
        <v>40</v>
      </c>
      <c r="C574" s="705"/>
      <c r="D574" s="54">
        <f t="shared" ref="D574:P574" si="176">D560+D569+D573</f>
        <v>40502</v>
      </c>
      <c r="E574" s="54">
        <f t="shared" si="176"/>
        <v>39029</v>
      </c>
      <c r="F574" s="54">
        <f t="shared" si="176"/>
        <v>46100</v>
      </c>
      <c r="G574" s="54">
        <f t="shared" si="176"/>
        <v>42502</v>
      </c>
      <c r="H574" s="54">
        <f t="shared" si="176"/>
        <v>38012</v>
      </c>
      <c r="I574" s="54">
        <f t="shared" si="176"/>
        <v>42200</v>
      </c>
      <c r="J574" s="54">
        <f t="shared" si="176"/>
        <v>40706</v>
      </c>
      <c r="K574" s="54">
        <f t="shared" si="176"/>
        <v>36611</v>
      </c>
      <c r="L574" s="54">
        <f t="shared" si="176"/>
        <v>41952</v>
      </c>
      <c r="M574" s="54">
        <f t="shared" si="176"/>
        <v>41302</v>
      </c>
      <c r="N574" s="54">
        <f t="shared" si="176"/>
        <v>39031</v>
      </c>
      <c r="O574" s="54">
        <f t="shared" si="176"/>
        <v>45056</v>
      </c>
      <c r="P574" s="55">
        <f t="shared" si="176"/>
        <v>493003</v>
      </c>
      <c r="Q574" s="46"/>
    </row>
    <row r="575" spans="1:17" ht="15" customHeight="1">
      <c r="A575"/>
    </row>
    <row r="576" spans="1:17" ht="15" customHeight="1">
      <c r="A576"/>
      <c r="B576" s="56" t="s">
        <v>24</v>
      </c>
      <c r="C576" s="57"/>
      <c r="D576" s="58">
        <f t="shared" ref="D576:J576" si="177">D555</f>
        <v>3156</v>
      </c>
      <c r="E576" s="58">
        <f t="shared" si="177"/>
        <v>2815</v>
      </c>
      <c r="F576" s="58">
        <f t="shared" si="177"/>
        <v>3458</v>
      </c>
      <c r="G576" s="58">
        <f t="shared" si="177"/>
        <v>3637</v>
      </c>
      <c r="H576" s="58">
        <f t="shared" si="177"/>
        <v>3393</v>
      </c>
      <c r="I576" s="58">
        <f t="shared" si="177"/>
        <v>3029</v>
      </c>
      <c r="J576" s="58">
        <f t="shared" si="177"/>
        <v>2707</v>
      </c>
      <c r="K576" s="58">
        <v>2613</v>
      </c>
      <c r="L576" s="58">
        <v>2697</v>
      </c>
      <c r="M576" s="58">
        <v>2201</v>
      </c>
      <c r="N576" s="58">
        <v>2922</v>
      </c>
      <c r="O576" s="58">
        <v>1761</v>
      </c>
      <c r="P576" s="59">
        <f>SUM(D576:O576)</f>
        <v>34389</v>
      </c>
    </row>
    <row r="577" spans="1:17" ht="15" customHeight="1">
      <c r="A577"/>
      <c r="B577" s="60"/>
      <c r="C577" s="61" t="s">
        <v>16</v>
      </c>
      <c r="D577" s="62">
        <v>162</v>
      </c>
      <c r="E577" s="62">
        <v>122</v>
      </c>
      <c r="F577" s="62">
        <v>232</v>
      </c>
      <c r="G577" s="62">
        <v>278</v>
      </c>
      <c r="H577" s="62">
        <v>160</v>
      </c>
      <c r="I577" s="62">
        <v>153</v>
      </c>
      <c r="J577" s="62">
        <v>130</v>
      </c>
      <c r="K577" s="62">
        <v>89</v>
      </c>
      <c r="L577" s="62">
        <v>35</v>
      </c>
      <c r="M577" s="62">
        <v>53</v>
      </c>
      <c r="N577" s="62">
        <v>58</v>
      </c>
      <c r="O577" s="62">
        <v>70</v>
      </c>
      <c r="P577" s="63">
        <f>SUM(D577:O577)</f>
        <v>1542</v>
      </c>
    </row>
    <row r="578" spans="1:17" ht="15" customHeight="1">
      <c r="A578"/>
      <c r="G578" s="64"/>
      <c r="L578" s="64"/>
      <c r="P578" s="65"/>
      <c r="Q578" s="17"/>
    </row>
    <row r="579" spans="1:17" ht="15" customHeight="1">
      <c r="A579"/>
      <c r="B579" s="66" t="s">
        <v>26</v>
      </c>
      <c r="C579" s="67"/>
      <c r="D579" s="58">
        <f t="shared" ref="D579:J579" si="178">D557</f>
        <v>6803</v>
      </c>
      <c r="E579" s="58">
        <f t="shared" si="178"/>
        <v>6216</v>
      </c>
      <c r="F579" s="58">
        <f t="shared" si="178"/>
        <v>7627</v>
      </c>
      <c r="G579" s="58">
        <f t="shared" si="178"/>
        <v>7163</v>
      </c>
      <c r="H579" s="58">
        <f t="shared" si="178"/>
        <v>6087</v>
      </c>
      <c r="I579" s="58">
        <f t="shared" si="178"/>
        <v>7085</v>
      </c>
      <c r="J579" s="58">
        <f t="shared" si="178"/>
        <v>7051</v>
      </c>
      <c r="K579" s="58">
        <v>5920</v>
      </c>
      <c r="L579" s="58">
        <v>9475</v>
      </c>
      <c r="M579" s="58">
        <v>9138</v>
      </c>
      <c r="N579" s="58">
        <v>7162</v>
      </c>
      <c r="O579" s="58">
        <v>7725</v>
      </c>
      <c r="P579" s="59">
        <f>SUM(D579:O579)</f>
        <v>87452</v>
      </c>
    </row>
    <row r="580" spans="1:17" ht="15" customHeight="1">
      <c r="A580"/>
      <c r="B580" s="60"/>
      <c r="C580" s="61" t="s">
        <v>16</v>
      </c>
      <c r="D580" s="62"/>
      <c r="E580" s="62"/>
      <c r="F580" s="62"/>
      <c r="G580" s="62"/>
      <c r="H580" s="62">
        <v>232</v>
      </c>
      <c r="I580" s="62">
        <v>872</v>
      </c>
      <c r="J580" s="62">
        <v>729</v>
      </c>
      <c r="K580" s="62">
        <v>749</v>
      </c>
      <c r="L580" s="62">
        <v>806</v>
      </c>
      <c r="M580" s="62">
        <v>598</v>
      </c>
      <c r="N580" s="62">
        <v>543</v>
      </c>
      <c r="O580" s="62">
        <v>750</v>
      </c>
      <c r="P580" s="63">
        <f>SUM(D580:O580)</f>
        <v>5279</v>
      </c>
    </row>
    <row r="581" spans="1:17" ht="15" customHeight="1">
      <c r="A581"/>
      <c r="B581" s="72"/>
      <c r="C581" s="69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1"/>
    </row>
    <row r="582" spans="1:17" ht="15" customHeight="1">
      <c r="A582"/>
      <c r="P582" s="65"/>
      <c r="Q582" s="17"/>
    </row>
    <row r="583" spans="1:17" ht="15" customHeight="1" thickBot="1">
      <c r="A583"/>
      <c r="B583" s="16" t="s">
        <v>41</v>
      </c>
      <c r="C583" s="16"/>
    </row>
    <row r="584" spans="1:17" ht="15" customHeight="1" thickBot="1">
      <c r="A584"/>
      <c r="B584" s="710" t="s">
        <v>19</v>
      </c>
      <c r="C584" s="711"/>
      <c r="D584" s="19">
        <v>1</v>
      </c>
      <c r="E584" s="20">
        <v>2</v>
      </c>
      <c r="F584" s="20">
        <v>3</v>
      </c>
      <c r="G584" s="20">
        <v>4</v>
      </c>
      <c r="H584" s="20">
        <v>5</v>
      </c>
      <c r="I584" s="20">
        <v>6</v>
      </c>
      <c r="J584" s="20">
        <v>7</v>
      </c>
      <c r="K584" s="20">
        <v>8</v>
      </c>
      <c r="L584" s="20">
        <v>9</v>
      </c>
      <c r="M584" s="20">
        <v>10</v>
      </c>
      <c r="N584" s="20">
        <v>11</v>
      </c>
      <c r="O584" s="20">
        <v>12</v>
      </c>
      <c r="P584" s="21" t="s">
        <v>6</v>
      </c>
    </row>
    <row r="585" spans="1:17" ht="15" customHeight="1">
      <c r="A585"/>
      <c r="B585" s="712" t="s">
        <v>20</v>
      </c>
      <c r="C585" s="22" t="s">
        <v>21</v>
      </c>
      <c r="D585" s="23">
        <v>8155</v>
      </c>
      <c r="E585" s="24">
        <v>7886</v>
      </c>
      <c r="F585" s="23">
        <v>9472</v>
      </c>
      <c r="G585" s="24">
        <v>10257</v>
      </c>
      <c r="H585" s="24">
        <v>8321</v>
      </c>
      <c r="I585" s="24">
        <v>9088</v>
      </c>
      <c r="J585" s="24">
        <v>8758</v>
      </c>
      <c r="K585" s="24">
        <v>6808</v>
      </c>
      <c r="L585" s="24">
        <v>7659</v>
      </c>
      <c r="M585" s="24">
        <v>7722</v>
      </c>
      <c r="N585" s="24">
        <v>8714</v>
      </c>
      <c r="O585" s="24">
        <v>8730</v>
      </c>
      <c r="P585" s="25">
        <f t="shared" ref="P585:P593" si="179">SUM(D585:O585)</f>
        <v>101570</v>
      </c>
    </row>
    <row r="586" spans="1:17" ht="15" customHeight="1">
      <c r="A586"/>
      <c r="B586" s="712"/>
      <c r="C586" s="34" t="s">
        <v>22</v>
      </c>
      <c r="D586" s="35"/>
      <c r="E586" s="36"/>
      <c r="F586" s="35"/>
      <c r="G586" s="36"/>
      <c r="H586" s="36"/>
      <c r="I586" s="36"/>
      <c r="J586" s="36"/>
      <c r="K586" s="36"/>
      <c r="L586" s="36"/>
      <c r="M586" s="36"/>
      <c r="N586" s="36"/>
      <c r="O586" s="36"/>
      <c r="P586" s="37">
        <f t="shared" si="179"/>
        <v>0</v>
      </c>
    </row>
    <row r="587" spans="1:17" ht="15" customHeight="1">
      <c r="A587"/>
      <c r="B587" s="712"/>
      <c r="C587" s="30" t="s">
        <v>23</v>
      </c>
      <c r="D587" s="31">
        <v>1310</v>
      </c>
      <c r="E587" s="32">
        <v>1106</v>
      </c>
      <c r="F587" s="31">
        <v>1318</v>
      </c>
      <c r="G587" s="32">
        <v>899</v>
      </c>
      <c r="H587" s="32">
        <v>1072</v>
      </c>
      <c r="I587" s="32">
        <v>1006</v>
      </c>
      <c r="J587" s="32">
        <v>1284</v>
      </c>
      <c r="K587" s="32">
        <v>1354</v>
      </c>
      <c r="L587" s="32">
        <v>1065</v>
      </c>
      <c r="M587" s="32">
        <v>1106</v>
      </c>
      <c r="N587" s="32">
        <v>1339</v>
      </c>
      <c r="O587" s="32">
        <v>1480</v>
      </c>
      <c r="P587" s="33">
        <f t="shared" si="179"/>
        <v>14339</v>
      </c>
    </row>
    <row r="588" spans="1:17" ht="15" customHeight="1">
      <c r="A588"/>
      <c r="B588" s="712"/>
      <c r="C588" s="34"/>
      <c r="D588" s="35"/>
      <c r="E588" s="36"/>
      <c r="F588" s="35"/>
      <c r="G588" s="36"/>
      <c r="H588" s="36"/>
      <c r="I588" s="36"/>
      <c r="J588" s="36"/>
      <c r="K588" s="36"/>
      <c r="L588" s="36"/>
      <c r="M588" s="36"/>
      <c r="N588" s="36"/>
      <c r="O588" s="36"/>
      <c r="P588" s="37">
        <f t="shared" si="179"/>
        <v>0</v>
      </c>
    </row>
    <row r="589" spans="1:17" ht="15" customHeight="1">
      <c r="A589"/>
      <c r="B589" s="712"/>
      <c r="C589" s="30" t="s">
        <v>24</v>
      </c>
      <c r="D589" s="31">
        <v>3596</v>
      </c>
      <c r="E589" s="32">
        <v>3611</v>
      </c>
      <c r="F589" s="31">
        <v>4007</v>
      </c>
      <c r="G589" s="32">
        <v>3295</v>
      </c>
      <c r="H589" s="32">
        <v>3601</v>
      </c>
      <c r="I589" s="32">
        <v>3416</v>
      </c>
      <c r="J589" s="32">
        <v>3571</v>
      </c>
      <c r="K589" s="32">
        <v>3264</v>
      </c>
      <c r="L589" s="32">
        <v>3659</v>
      </c>
      <c r="M589" s="32">
        <v>3917</v>
      </c>
      <c r="N589" s="32">
        <v>4023</v>
      </c>
      <c r="O589" s="32">
        <v>3526</v>
      </c>
      <c r="P589" s="33">
        <f t="shared" si="179"/>
        <v>43486</v>
      </c>
    </row>
    <row r="590" spans="1:17" ht="15" customHeight="1">
      <c r="A590"/>
      <c r="B590" s="712"/>
      <c r="C590" s="30" t="s">
        <v>25</v>
      </c>
      <c r="D590" s="31">
        <v>3000</v>
      </c>
      <c r="E590" s="32">
        <v>2496</v>
      </c>
      <c r="F590" s="31">
        <v>2695</v>
      </c>
      <c r="G590" s="32">
        <v>2400</v>
      </c>
      <c r="H590" s="32">
        <v>1928</v>
      </c>
      <c r="I590" s="32">
        <v>1141</v>
      </c>
      <c r="J590" s="32">
        <v>1467</v>
      </c>
      <c r="K590" s="32">
        <v>1082</v>
      </c>
      <c r="L590" s="28">
        <v>581</v>
      </c>
      <c r="M590" s="32">
        <v>616</v>
      </c>
      <c r="N590" s="32">
        <v>129</v>
      </c>
      <c r="O590" s="32">
        <v>80</v>
      </c>
      <c r="P590" s="33">
        <f t="shared" si="179"/>
        <v>17615</v>
      </c>
    </row>
    <row r="591" spans="1:17" ht="15" customHeight="1">
      <c r="A591"/>
      <c r="B591" s="712"/>
      <c r="C591" s="30" t="s">
        <v>26</v>
      </c>
      <c r="D591" s="27"/>
      <c r="E591" s="28"/>
      <c r="F591" s="27"/>
      <c r="G591" s="28"/>
      <c r="H591" s="28">
        <v>3552</v>
      </c>
      <c r="I591" s="32">
        <v>10673</v>
      </c>
      <c r="J591" s="32">
        <v>10105</v>
      </c>
      <c r="K591" s="32">
        <v>8082</v>
      </c>
      <c r="L591" s="28">
        <v>8456</v>
      </c>
      <c r="M591" s="32">
        <v>7441</v>
      </c>
      <c r="N591" s="32">
        <v>7194</v>
      </c>
      <c r="O591" s="32">
        <v>6373</v>
      </c>
      <c r="P591" s="33">
        <f t="shared" si="179"/>
        <v>61876</v>
      </c>
    </row>
    <row r="592" spans="1:17" ht="15" customHeight="1">
      <c r="A592"/>
      <c r="B592" s="712"/>
      <c r="C592" s="26" t="s">
        <v>27</v>
      </c>
      <c r="D592" s="27">
        <v>4127</v>
      </c>
      <c r="E592" s="28">
        <v>4249</v>
      </c>
      <c r="F592" s="27">
        <v>5033</v>
      </c>
      <c r="G592" s="28">
        <v>3856</v>
      </c>
      <c r="H592" s="28">
        <v>3269</v>
      </c>
      <c r="I592" s="28">
        <v>3829</v>
      </c>
      <c r="J592" s="28">
        <v>4005</v>
      </c>
      <c r="K592" s="28">
        <v>3064</v>
      </c>
      <c r="L592" s="28">
        <v>2725</v>
      </c>
      <c r="M592" s="28">
        <v>2778</v>
      </c>
      <c r="N592" s="28">
        <v>2750</v>
      </c>
      <c r="O592" s="28">
        <v>2859</v>
      </c>
      <c r="P592" s="29">
        <f t="shared" si="179"/>
        <v>42544</v>
      </c>
    </row>
    <row r="593" spans="1:17" ht="15" customHeight="1">
      <c r="A593"/>
      <c r="B593" s="712"/>
      <c r="C593" s="30" t="s">
        <v>28</v>
      </c>
      <c r="D593" s="31">
        <v>688</v>
      </c>
      <c r="E593" s="32">
        <v>733</v>
      </c>
      <c r="F593" s="31">
        <v>731</v>
      </c>
      <c r="G593" s="32">
        <v>645</v>
      </c>
      <c r="H593" s="32">
        <v>536</v>
      </c>
      <c r="I593" s="32">
        <v>563</v>
      </c>
      <c r="J593" s="32">
        <v>725</v>
      </c>
      <c r="K593" s="32">
        <v>550</v>
      </c>
      <c r="L593" s="32">
        <v>673</v>
      </c>
      <c r="M593" s="32">
        <v>910</v>
      </c>
      <c r="N593" s="32">
        <v>683</v>
      </c>
      <c r="O593" s="32">
        <v>779</v>
      </c>
      <c r="P593" s="33">
        <f t="shared" si="179"/>
        <v>8216</v>
      </c>
    </row>
    <row r="594" spans="1:17" ht="15" customHeight="1">
      <c r="A594"/>
      <c r="B594" s="713"/>
      <c r="C594" s="42" t="s">
        <v>6</v>
      </c>
      <c r="D594" s="43">
        <f t="shared" ref="D594:P594" si="180">SUM(D585:D593)</f>
        <v>20876</v>
      </c>
      <c r="E594" s="43">
        <f t="shared" si="180"/>
        <v>20081</v>
      </c>
      <c r="F594" s="43">
        <f t="shared" si="180"/>
        <v>23256</v>
      </c>
      <c r="G594" s="43">
        <f t="shared" si="180"/>
        <v>21352</v>
      </c>
      <c r="H594" s="43">
        <f t="shared" si="180"/>
        <v>22279</v>
      </c>
      <c r="I594" s="43">
        <f t="shared" si="180"/>
        <v>29716</v>
      </c>
      <c r="J594" s="43">
        <f t="shared" si="180"/>
        <v>29915</v>
      </c>
      <c r="K594" s="43">
        <f t="shared" si="180"/>
        <v>24204</v>
      </c>
      <c r="L594" s="43">
        <f t="shared" si="180"/>
        <v>24818</v>
      </c>
      <c r="M594" s="43">
        <f t="shared" si="180"/>
        <v>24490</v>
      </c>
      <c r="N594" s="43">
        <f t="shared" si="180"/>
        <v>24832</v>
      </c>
      <c r="O594" s="43">
        <f t="shared" si="180"/>
        <v>23827</v>
      </c>
      <c r="P594" s="44">
        <f t="shared" si="180"/>
        <v>289646</v>
      </c>
    </row>
    <row r="595" spans="1:17" ht="15" customHeight="1">
      <c r="A595"/>
      <c r="B595" s="714" t="s">
        <v>12</v>
      </c>
      <c r="C595" s="30" t="s">
        <v>29</v>
      </c>
      <c r="D595" s="31">
        <v>439</v>
      </c>
      <c r="E595" s="32">
        <v>545</v>
      </c>
      <c r="F595" s="32">
        <v>529</v>
      </c>
      <c r="G595" s="32">
        <v>321</v>
      </c>
      <c r="H595" s="32">
        <v>372</v>
      </c>
      <c r="I595" s="32">
        <v>395</v>
      </c>
      <c r="J595" s="32">
        <v>480</v>
      </c>
      <c r="K595" s="32">
        <v>383</v>
      </c>
      <c r="L595" s="32">
        <v>352</v>
      </c>
      <c r="M595" s="32">
        <v>365</v>
      </c>
      <c r="N595" s="32">
        <v>368</v>
      </c>
      <c r="O595" s="32">
        <v>441</v>
      </c>
      <c r="P595" s="33">
        <f t="shared" ref="P595:P602" si="181">SUM(D595:O595)</f>
        <v>4990</v>
      </c>
      <c r="Q595" s="45"/>
    </row>
    <row r="596" spans="1:17" ht="15" customHeight="1">
      <c r="A596"/>
      <c r="B596" s="714"/>
      <c r="C596" s="30" t="s">
        <v>30</v>
      </c>
      <c r="D596" s="31">
        <v>1957</v>
      </c>
      <c r="E596" s="32">
        <v>1913</v>
      </c>
      <c r="F596" s="32">
        <v>2117</v>
      </c>
      <c r="G596" s="32">
        <v>1916</v>
      </c>
      <c r="H596" s="32">
        <v>1788</v>
      </c>
      <c r="I596" s="32">
        <v>1916</v>
      </c>
      <c r="J596" s="32">
        <v>2036</v>
      </c>
      <c r="K596" s="32">
        <v>1979</v>
      </c>
      <c r="L596" s="32">
        <v>2100</v>
      </c>
      <c r="M596" s="32">
        <v>2346</v>
      </c>
      <c r="N596" s="32">
        <v>2446</v>
      </c>
      <c r="O596" s="32">
        <v>2630</v>
      </c>
      <c r="P596" s="33">
        <f t="shared" si="181"/>
        <v>25144</v>
      </c>
    </row>
    <row r="597" spans="1:17" ht="15" customHeight="1">
      <c r="A597"/>
      <c r="B597" s="714"/>
      <c r="C597" s="34"/>
      <c r="D597" s="35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7">
        <f t="shared" si="181"/>
        <v>0</v>
      </c>
    </row>
    <row r="598" spans="1:17" ht="15" customHeight="1">
      <c r="A598"/>
      <c r="B598" s="714"/>
      <c r="C598" s="30" t="s">
        <v>31</v>
      </c>
      <c r="D598" s="31">
        <v>1395</v>
      </c>
      <c r="E598" s="32">
        <v>1605</v>
      </c>
      <c r="F598" s="32">
        <v>2003</v>
      </c>
      <c r="G598" s="32">
        <v>1951</v>
      </c>
      <c r="H598" s="32">
        <v>2025</v>
      </c>
      <c r="I598" s="32">
        <v>1838</v>
      </c>
      <c r="J598" s="32">
        <v>2011</v>
      </c>
      <c r="K598" s="32">
        <v>1709</v>
      </c>
      <c r="L598" s="32">
        <v>1457</v>
      </c>
      <c r="M598" s="32">
        <v>1538</v>
      </c>
      <c r="N598" s="32">
        <v>1706</v>
      </c>
      <c r="O598" s="32">
        <v>2962</v>
      </c>
      <c r="P598" s="33">
        <f t="shared" si="181"/>
        <v>22200</v>
      </c>
    </row>
    <row r="599" spans="1:17" ht="15" customHeight="1">
      <c r="A599"/>
      <c r="B599" s="714"/>
      <c r="C599" s="30" t="s">
        <v>32</v>
      </c>
      <c r="D599" s="31">
        <v>1322</v>
      </c>
      <c r="E599" s="32">
        <v>1273</v>
      </c>
      <c r="F599" s="32">
        <v>1308</v>
      </c>
      <c r="G599" s="32">
        <v>339</v>
      </c>
      <c r="H599" s="32">
        <v>534</v>
      </c>
      <c r="I599" s="32">
        <v>68</v>
      </c>
      <c r="J599" s="32">
        <v>0</v>
      </c>
      <c r="K599" s="32">
        <v>0</v>
      </c>
      <c r="L599" s="32"/>
      <c r="M599" s="32"/>
      <c r="N599" s="32">
        <v>0</v>
      </c>
      <c r="O599" s="32"/>
      <c r="P599" s="33">
        <f t="shared" si="181"/>
        <v>4844</v>
      </c>
    </row>
    <row r="600" spans="1:17" ht="15" customHeight="1">
      <c r="A600"/>
      <c r="B600" s="714"/>
      <c r="C600" s="30" t="s">
        <v>33</v>
      </c>
      <c r="D600" s="27"/>
      <c r="E600" s="28"/>
      <c r="F600" s="28"/>
      <c r="G600" s="32">
        <v>4626</v>
      </c>
      <c r="H600" s="32">
        <v>4859</v>
      </c>
      <c r="I600" s="32">
        <v>4176</v>
      </c>
      <c r="J600" s="32">
        <v>4245</v>
      </c>
      <c r="K600" s="32">
        <v>3076</v>
      </c>
      <c r="L600" s="32">
        <v>3662</v>
      </c>
      <c r="M600" s="32">
        <v>5290</v>
      </c>
      <c r="N600" s="32">
        <v>4833</v>
      </c>
      <c r="O600" s="32">
        <v>5159</v>
      </c>
      <c r="P600" s="33">
        <f t="shared" si="181"/>
        <v>39926</v>
      </c>
    </row>
    <row r="601" spans="1:17" ht="15" customHeight="1">
      <c r="A601"/>
      <c r="B601" s="714"/>
      <c r="C601" s="26" t="s">
        <v>34</v>
      </c>
      <c r="D601" s="27">
        <v>3751</v>
      </c>
      <c r="E601" s="28">
        <v>4068</v>
      </c>
      <c r="F601" s="28">
        <v>3600</v>
      </c>
      <c r="G601" s="28">
        <v>3522</v>
      </c>
      <c r="H601" s="28">
        <v>3234</v>
      </c>
      <c r="I601" s="28">
        <v>2958</v>
      </c>
      <c r="J601" s="28">
        <v>3167</v>
      </c>
      <c r="K601" s="28">
        <v>2778</v>
      </c>
      <c r="L601" s="28">
        <v>3366</v>
      </c>
      <c r="M601" s="28">
        <v>3259</v>
      </c>
      <c r="N601" s="28">
        <v>4111</v>
      </c>
      <c r="O601" s="28">
        <v>4666</v>
      </c>
      <c r="P601" s="29">
        <f t="shared" si="181"/>
        <v>42480</v>
      </c>
      <c r="Q601" s="46"/>
    </row>
    <row r="602" spans="1:17" ht="15" customHeight="1">
      <c r="A602"/>
      <c r="B602" s="714"/>
      <c r="C602" s="30" t="s">
        <v>35</v>
      </c>
      <c r="D602" s="31">
        <v>483</v>
      </c>
      <c r="E602" s="32">
        <v>415</v>
      </c>
      <c r="F602" s="32">
        <v>496</v>
      </c>
      <c r="G602" s="32">
        <v>519</v>
      </c>
      <c r="H602" s="32">
        <v>409</v>
      </c>
      <c r="I602" s="32">
        <v>381</v>
      </c>
      <c r="J602" s="32">
        <v>510</v>
      </c>
      <c r="K602" s="32">
        <v>494</v>
      </c>
      <c r="L602" s="32">
        <v>476</v>
      </c>
      <c r="M602" s="32">
        <v>472</v>
      </c>
      <c r="N602" s="32">
        <v>487</v>
      </c>
      <c r="O602" s="32">
        <v>509</v>
      </c>
      <c r="P602" s="29">
        <f t="shared" si="181"/>
        <v>5651</v>
      </c>
      <c r="Q602" s="46"/>
    </row>
    <row r="603" spans="1:17" ht="15" customHeight="1" thickBot="1">
      <c r="A603"/>
      <c r="B603" s="715"/>
      <c r="C603" s="42" t="s">
        <v>6</v>
      </c>
      <c r="D603" s="43">
        <f t="shared" ref="D603:P603" si="182">SUM(D595:D602)</f>
        <v>9347</v>
      </c>
      <c r="E603" s="43">
        <f t="shared" si="182"/>
        <v>9819</v>
      </c>
      <c r="F603" s="43">
        <f t="shared" si="182"/>
        <v>10053</v>
      </c>
      <c r="G603" s="43">
        <f t="shared" si="182"/>
        <v>13194</v>
      </c>
      <c r="H603" s="43">
        <f t="shared" si="182"/>
        <v>13221</v>
      </c>
      <c r="I603" s="43">
        <f t="shared" si="182"/>
        <v>11732</v>
      </c>
      <c r="J603" s="43">
        <f t="shared" si="182"/>
        <v>12449</v>
      </c>
      <c r="K603" s="43">
        <f t="shared" si="182"/>
        <v>10419</v>
      </c>
      <c r="L603" s="43">
        <f t="shared" si="182"/>
        <v>11413</v>
      </c>
      <c r="M603" s="43">
        <f t="shared" si="182"/>
        <v>13270</v>
      </c>
      <c r="N603" s="43">
        <f t="shared" si="182"/>
        <v>13951</v>
      </c>
      <c r="O603" s="43">
        <f t="shared" si="182"/>
        <v>16367</v>
      </c>
      <c r="P603" s="44">
        <f t="shared" si="182"/>
        <v>145235</v>
      </c>
      <c r="Q603" s="46"/>
    </row>
    <row r="604" spans="1:17" ht="15" customHeight="1">
      <c r="A604"/>
      <c r="B604" s="716" t="s">
        <v>36</v>
      </c>
      <c r="C604" s="47" t="s">
        <v>37</v>
      </c>
      <c r="D604" s="48">
        <v>3684</v>
      </c>
      <c r="E604" s="49">
        <v>3123</v>
      </c>
      <c r="F604" s="49">
        <v>4512</v>
      </c>
      <c r="G604" s="49">
        <v>3826</v>
      </c>
      <c r="H604" s="49">
        <v>4387</v>
      </c>
      <c r="I604" s="49">
        <v>2387</v>
      </c>
      <c r="J604" s="49">
        <v>2366</v>
      </c>
      <c r="K604" s="49">
        <v>3625</v>
      </c>
      <c r="L604" s="49">
        <v>3615</v>
      </c>
      <c r="M604" s="49">
        <v>5059</v>
      </c>
      <c r="N604" s="49">
        <v>4986</v>
      </c>
      <c r="O604" s="49">
        <v>4610</v>
      </c>
      <c r="P604" s="50">
        <f>SUM(D604:O604)</f>
        <v>46180</v>
      </c>
      <c r="Q604" s="46"/>
    </row>
    <row r="605" spans="1:17" ht="15" customHeight="1">
      <c r="A605"/>
      <c r="B605" s="717"/>
      <c r="C605" s="22" t="s">
        <v>38</v>
      </c>
      <c r="D605" s="23">
        <v>100</v>
      </c>
      <c r="E605" s="24">
        <v>134</v>
      </c>
      <c r="F605" s="24">
        <v>170</v>
      </c>
      <c r="G605" s="24">
        <v>134</v>
      </c>
      <c r="H605" s="24">
        <v>126</v>
      </c>
      <c r="I605" s="24">
        <v>119</v>
      </c>
      <c r="J605" s="24">
        <v>152</v>
      </c>
      <c r="K605" s="24">
        <v>129</v>
      </c>
      <c r="L605" s="24">
        <v>154</v>
      </c>
      <c r="M605" s="24">
        <v>117</v>
      </c>
      <c r="N605" s="24">
        <v>76</v>
      </c>
      <c r="O605" s="24">
        <v>128</v>
      </c>
      <c r="P605" s="25">
        <f>SUM(D605:O605)</f>
        <v>1539</v>
      </c>
      <c r="Q605" s="18"/>
    </row>
    <row r="606" spans="1:17" ht="15" customHeight="1">
      <c r="A606"/>
      <c r="B606" s="717"/>
      <c r="C606" s="22" t="s">
        <v>39</v>
      </c>
      <c r="D606" s="23"/>
      <c r="E606" s="24">
        <v>52</v>
      </c>
      <c r="F606" s="24">
        <v>24</v>
      </c>
      <c r="G606" s="24">
        <v>7</v>
      </c>
      <c r="H606" s="24">
        <v>1</v>
      </c>
      <c r="I606" s="24">
        <v>477</v>
      </c>
      <c r="J606" s="24">
        <v>218</v>
      </c>
      <c r="K606" s="24">
        <v>243</v>
      </c>
      <c r="L606" s="24">
        <v>191</v>
      </c>
      <c r="M606" s="24">
        <v>211</v>
      </c>
      <c r="N606" s="24">
        <v>204</v>
      </c>
      <c r="O606" s="24">
        <v>284</v>
      </c>
      <c r="P606" s="25">
        <f>SUM(D606:O606)</f>
        <v>1912</v>
      </c>
      <c r="Q606" s="18"/>
    </row>
    <row r="607" spans="1:17" ht="15" customHeight="1" thickBot="1">
      <c r="A607"/>
      <c r="B607" s="718"/>
      <c r="C607" s="51" t="s">
        <v>6</v>
      </c>
      <c r="D607" s="52">
        <f t="shared" ref="D607:P607" si="183">SUM(D604:D606)</f>
        <v>3784</v>
      </c>
      <c r="E607" s="52">
        <f t="shared" si="183"/>
        <v>3309</v>
      </c>
      <c r="F607" s="52">
        <f t="shared" si="183"/>
        <v>4706</v>
      </c>
      <c r="G607" s="52">
        <f t="shared" si="183"/>
        <v>3967</v>
      </c>
      <c r="H607" s="52">
        <f t="shared" si="183"/>
        <v>4514</v>
      </c>
      <c r="I607" s="52">
        <f t="shared" si="183"/>
        <v>2983</v>
      </c>
      <c r="J607" s="52">
        <f t="shared" si="183"/>
        <v>2736</v>
      </c>
      <c r="K607" s="52">
        <f t="shared" si="183"/>
        <v>3997</v>
      </c>
      <c r="L607" s="52">
        <f t="shared" si="183"/>
        <v>3960</v>
      </c>
      <c r="M607" s="52">
        <f t="shared" si="183"/>
        <v>5387</v>
      </c>
      <c r="N607" s="52">
        <f t="shared" si="183"/>
        <v>5266</v>
      </c>
      <c r="O607" s="52">
        <f t="shared" si="183"/>
        <v>5022</v>
      </c>
      <c r="P607" s="53">
        <f t="shared" si="183"/>
        <v>49631</v>
      </c>
      <c r="Q607" s="18"/>
    </row>
    <row r="608" spans="1:17" ht="15" customHeight="1" thickBot="1">
      <c r="A608"/>
      <c r="B608" s="704" t="s">
        <v>40</v>
      </c>
      <c r="C608" s="705"/>
      <c r="D608" s="54">
        <f t="shared" ref="D608:P608" si="184">D594+D603+D607</f>
        <v>34007</v>
      </c>
      <c r="E608" s="54">
        <f t="shared" si="184"/>
        <v>33209</v>
      </c>
      <c r="F608" s="54">
        <f t="shared" si="184"/>
        <v>38015</v>
      </c>
      <c r="G608" s="54">
        <f t="shared" si="184"/>
        <v>38513</v>
      </c>
      <c r="H608" s="54">
        <f t="shared" si="184"/>
        <v>40014</v>
      </c>
      <c r="I608" s="54">
        <f t="shared" si="184"/>
        <v>44431</v>
      </c>
      <c r="J608" s="54">
        <f t="shared" si="184"/>
        <v>45100</v>
      </c>
      <c r="K608" s="54">
        <f t="shared" si="184"/>
        <v>38620</v>
      </c>
      <c r="L608" s="54">
        <f t="shared" si="184"/>
        <v>40191</v>
      </c>
      <c r="M608" s="54">
        <f t="shared" si="184"/>
        <v>43147</v>
      </c>
      <c r="N608" s="54">
        <f t="shared" si="184"/>
        <v>44049</v>
      </c>
      <c r="O608" s="54">
        <f t="shared" si="184"/>
        <v>45216</v>
      </c>
      <c r="P608" s="55">
        <f t="shared" si="184"/>
        <v>484512</v>
      </c>
      <c r="Q608" s="46"/>
    </row>
    <row r="609" spans="1:17" ht="15" customHeight="1">
      <c r="A609"/>
    </row>
    <row r="610" spans="1:17" ht="15" customHeight="1">
      <c r="A610"/>
      <c r="B610" s="56" t="s">
        <v>24</v>
      </c>
      <c r="C610" s="57"/>
      <c r="D610" s="58">
        <f t="shared" ref="D610:O610" si="185">D589</f>
        <v>3596</v>
      </c>
      <c r="E610" s="58">
        <f t="shared" si="185"/>
        <v>3611</v>
      </c>
      <c r="F610" s="58">
        <f t="shared" si="185"/>
        <v>4007</v>
      </c>
      <c r="G610" s="58">
        <f t="shared" si="185"/>
        <v>3295</v>
      </c>
      <c r="H610" s="58">
        <f t="shared" si="185"/>
        <v>3601</v>
      </c>
      <c r="I610" s="58">
        <f t="shared" si="185"/>
        <v>3416</v>
      </c>
      <c r="J610" s="58">
        <f t="shared" si="185"/>
        <v>3571</v>
      </c>
      <c r="K610" s="58">
        <f t="shared" si="185"/>
        <v>3264</v>
      </c>
      <c r="L610" s="58">
        <f t="shared" si="185"/>
        <v>3659</v>
      </c>
      <c r="M610" s="58">
        <f t="shared" si="185"/>
        <v>3917</v>
      </c>
      <c r="N610" s="58">
        <f t="shared" si="185"/>
        <v>4023</v>
      </c>
      <c r="O610" s="58">
        <f t="shared" si="185"/>
        <v>3526</v>
      </c>
      <c r="P610" s="59">
        <f>SUM(D610:O610)</f>
        <v>43486</v>
      </c>
    </row>
    <row r="611" spans="1:17" ht="15" customHeight="1">
      <c r="A611"/>
      <c r="B611" s="60"/>
      <c r="C611" s="61" t="s">
        <v>16</v>
      </c>
      <c r="D611" s="62">
        <v>78</v>
      </c>
      <c r="E611" s="62">
        <v>208</v>
      </c>
      <c r="F611" s="62">
        <v>262</v>
      </c>
      <c r="G611" s="62">
        <v>217</v>
      </c>
      <c r="H611" s="62">
        <v>161</v>
      </c>
      <c r="I611" s="62">
        <v>137</v>
      </c>
      <c r="J611" s="62">
        <v>149</v>
      </c>
      <c r="K611" s="62">
        <v>183</v>
      </c>
      <c r="L611" s="62">
        <v>180</v>
      </c>
      <c r="M611" s="62">
        <v>183</v>
      </c>
      <c r="N611" s="62">
        <v>124</v>
      </c>
      <c r="O611" s="62">
        <v>334</v>
      </c>
      <c r="P611" s="63">
        <f>SUM(D611:O611)</f>
        <v>2216</v>
      </c>
    </row>
    <row r="612" spans="1:17" ht="15" customHeight="1">
      <c r="A612"/>
      <c r="G612" s="64"/>
      <c r="L612" s="64"/>
      <c r="P612" s="65"/>
      <c r="Q612" s="17"/>
    </row>
    <row r="613" spans="1:17" ht="15" customHeight="1">
      <c r="A613"/>
      <c r="B613" s="66" t="s">
        <v>26</v>
      </c>
      <c r="C613" s="67"/>
      <c r="D613" s="58">
        <f t="shared" ref="D613:O613" si="186">D591</f>
        <v>0</v>
      </c>
      <c r="E613" s="58">
        <f t="shared" si="186"/>
        <v>0</v>
      </c>
      <c r="F613" s="58">
        <f t="shared" si="186"/>
        <v>0</v>
      </c>
      <c r="G613" s="58">
        <f t="shared" si="186"/>
        <v>0</v>
      </c>
      <c r="H613" s="58">
        <f t="shared" si="186"/>
        <v>3552</v>
      </c>
      <c r="I613" s="58">
        <f t="shared" si="186"/>
        <v>10673</v>
      </c>
      <c r="J613" s="58">
        <f t="shared" si="186"/>
        <v>10105</v>
      </c>
      <c r="K613" s="58">
        <f t="shared" si="186"/>
        <v>8082</v>
      </c>
      <c r="L613" s="58">
        <f t="shared" si="186"/>
        <v>8456</v>
      </c>
      <c r="M613" s="58">
        <f t="shared" si="186"/>
        <v>7441</v>
      </c>
      <c r="N613" s="58">
        <f t="shared" si="186"/>
        <v>7194</v>
      </c>
      <c r="O613" s="58">
        <f t="shared" si="186"/>
        <v>6373</v>
      </c>
      <c r="P613" s="59">
        <f>SUM(D613:O613)</f>
        <v>61876</v>
      </c>
    </row>
    <row r="614" spans="1:17" ht="15" customHeight="1">
      <c r="A614"/>
      <c r="B614" s="60"/>
      <c r="C614" s="61" t="s">
        <v>16</v>
      </c>
      <c r="D614" s="62">
        <v>0</v>
      </c>
      <c r="E614" s="62">
        <v>0</v>
      </c>
      <c r="F614" s="62">
        <v>0</v>
      </c>
      <c r="G614" s="62">
        <v>0</v>
      </c>
      <c r="H614" s="62">
        <v>0</v>
      </c>
      <c r="I614" s="62">
        <v>0</v>
      </c>
      <c r="J614" s="62">
        <v>0</v>
      </c>
      <c r="K614" s="62">
        <v>0</v>
      </c>
      <c r="L614" s="62">
        <v>0</v>
      </c>
      <c r="M614" s="62">
        <v>0</v>
      </c>
      <c r="N614" s="62">
        <v>0</v>
      </c>
      <c r="O614" s="62">
        <v>0</v>
      </c>
      <c r="P614" s="63">
        <f>SUM(D614:O614)</f>
        <v>0</v>
      </c>
    </row>
    <row r="615" spans="1:17" ht="15" customHeight="1">
      <c r="A615"/>
      <c r="P615" s="65"/>
      <c r="Q615" s="17"/>
    </row>
    <row r="616" spans="1:17" ht="15" customHeight="1">
      <c r="A616"/>
      <c r="P616" s="65"/>
      <c r="Q616" s="17"/>
    </row>
    <row r="617" spans="1:17" ht="15" customHeight="1" thickBot="1">
      <c r="A617"/>
      <c r="B617" s="16" t="s">
        <v>165</v>
      </c>
      <c r="C617" s="16"/>
      <c r="Q617" s="17"/>
    </row>
    <row r="618" spans="1:17" ht="15" customHeight="1" thickBot="1">
      <c r="A618"/>
      <c r="B618" s="710" t="s">
        <v>19</v>
      </c>
      <c r="C618" s="711"/>
      <c r="D618" s="19">
        <v>1</v>
      </c>
      <c r="E618" s="20">
        <v>2</v>
      </c>
      <c r="F618" s="20">
        <v>3</v>
      </c>
      <c r="G618" s="20">
        <v>4</v>
      </c>
      <c r="H618" s="20">
        <v>5</v>
      </c>
      <c r="I618" s="20">
        <v>6</v>
      </c>
      <c r="J618" s="20">
        <v>7</v>
      </c>
      <c r="K618" s="20">
        <v>8</v>
      </c>
      <c r="L618" s="20">
        <v>9</v>
      </c>
      <c r="M618" s="20">
        <v>10</v>
      </c>
      <c r="N618" s="20">
        <v>11</v>
      </c>
      <c r="O618" s="20">
        <v>12</v>
      </c>
      <c r="P618" s="21" t="s">
        <v>6</v>
      </c>
    </row>
    <row r="619" spans="1:17" ht="15" customHeight="1">
      <c r="A619"/>
      <c r="B619" s="712" t="s">
        <v>20</v>
      </c>
      <c r="C619" s="22" t="s">
        <v>22</v>
      </c>
      <c r="D619" s="23">
        <v>6490</v>
      </c>
      <c r="E619" s="24">
        <v>7803</v>
      </c>
      <c r="F619" s="23">
        <v>8843</v>
      </c>
      <c r="G619" s="24">
        <v>9379</v>
      </c>
      <c r="H619" s="24">
        <v>9009</v>
      </c>
      <c r="I619" s="24">
        <v>8220</v>
      </c>
      <c r="J619" s="24">
        <v>9891</v>
      </c>
      <c r="K619" s="24">
        <v>7285</v>
      </c>
      <c r="L619" s="24">
        <v>9038</v>
      </c>
      <c r="M619" s="24">
        <v>8942</v>
      </c>
      <c r="N619" s="24">
        <v>9336</v>
      </c>
      <c r="O619" s="24">
        <v>7846</v>
      </c>
      <c r="P619" s="25">
        <f t="shared" ref="P619:P625" si="187">SUM(D619:O619)</f>
        <v>102082</v>
      </c>
    </row>
    <row r="620" spans="1:17" ht="15" customHeight="1">
      <c r="A620"/>
      <c r="B620" s="712"/>
      <c r="C620" s="30" t="s">
        <v>23</v>
      </c>
      <c r="D620" s="31">
        <v>1227</v>
      </c>
      <c r="E620" s="32">
        <v>1198</v>
      </c>
      <c r="F620" s="31">
        <v>1468</v>
      </c>
      <c r="G620" s="32">
        <v>1201</v>
      </c>
      <c r="H620" s="32">
        <v>1726</v>
      </c>
      <c r="I620" s="32">
        <v>2034</v>
      </c>
      <c r="J620" s="32">
        <v>1212</v>
      </c>
      <c r="K620" s="32">
        <v>1347</v>
      </c>
      <c r="L620" s="32">
        <v>1796</v>
      </c>
      <c r="M620" s="32">
        <v>1608</v>
      </c>
      <c r="N620" s="32">
        <v>1755</v>
      </c>
      <c r="O620" s="32">
        <v>1960</v>
      </c>
      <c r="P620" s="33">
        <f t="shared" si="187"/>
        <v>18532</v>
      </c>
    </row>
    <row r="621" spans="1:17" ht="15" customHeight="1">
      <c r="A621"/>
      <c r="B621" s="712"/>
      <c r="C621" s="30" t="s">
        <v>166</v>
      </c>
      <c r="D621" s="31"/>
      <c r="E621" s="32"/>
      <c r="F621" s="31"/>
      <c r="G621" s="32"/>
      <c r="H621" s="32"/>
      <c r="I621" s="32"/>
      <c r="J621" s="32"/>
      <c r="K621" s="32"/>
      <c r="L621" s="32"/>
      <c r="M621" s="32"/>
      <c r="N621" s="32"/>
      <c r="O621" s="32"/>
      <c r="P621" s="33">
        <f t="shared" si="187"/>
        <v>0</v>
      </c>
    </row>
    <row r="622" spans="1:17" ht="15" customHeight="1">
      <c r="B622" s="712"/>
      <c r="C622" s="30" t="s">
        <v>24</v>
      </c>
      <c r="D622" s="31">
        <v>3142</v>
      </c>
      <c r="E622" s="32">
        <v>3857</v>
      </c>
      <c r="F622" s="31">
        <v>4224</v>
      </c>
      <c r="G622" s="32">
        <v>4244</v>
      </c>
      <c r="H622" s="32">
        <v>4736</v>
      </c>
      <c r="I622" s="32">
        <v>6391</v>
      </c>
      <c r="J622" s="32">
        <v>3794</v>
      </c>
      <c r="K622" s="32">
        <v>2762</v>
      </c>
      <c r="L622" s="32">
        <v>5538</v>
      </c>
      <c r="M622" s="32">
        <v>4384</v>
      </c>
      <c r="N622" s="32">
        <v>4232</v>
      </c>
      <c r="O622" s="32">
        <v>4070</v>
      </c>
      <c r="P622" s="33">
        <f t="shared" si="187"/>
        <v>51374</v>
      </c>
    </row>
    <row r="623" spans="1:17" ht="15" customHeight="1">
      <c r="B623" s="712"/>
      <c r="C623" s="30" t="s">
        <v>25</v>
      </c>
      <c r="D623" s="31">
        <v>2574</v>
      </c>
      <c r="E623" s="32">
        <v>3753</v>
      </c>
      <c r="F623" s="31">
        <v>3545</v>
      </c>
      <c r="G623" s="32">
        <v>3498</v>
      </c>
      <c r="H623" s="32">
        <v>4342</v>
      </c>
      <c r="I623" s="32">
        <v>5373</v>
      </c>
      <c r="J623" s="32">
        <v>3365</v>
      </c>
      <c r="K623" s="32">
        <v>2460</v>
      </c>
      <c r="L623" s="32">
        <v>3742</v>
      </c>
      <c r="M623" s="32">
        <v>4334</v>
      </c>
      <c r="N623" s="32">
        <v>5392</v>
      </c>
      <c r="O623" s="32">
        <v>6676</v>
      </c>
      <c r="P623" s="33">
        <f t="shared" si="187"/>
        <v>49054</v>
      </c>
    </row>
    <row r="624" spans="1:17" ht="15" customHeight="1">
      <c r="B624" s="712"/>
      <c r="C624" s="30" t="s">
        <v>27</v>
      </c>
      <c r="D624" s="31"/>
      <c r="E624" s="32"/>
      <c r="F624" s="31"/>
      <c r="G624" s="32"/>
      <c r="H624" s="32"/>
      <c r="I624" s="32"/>
      <c r="J624" s="32"/>
      <c r="K624" s="32"/>
      <c r="L624" s="32"/>
      <c r="M624" s="32"/>
      <c r="N624" s="32"/>
      <c r="O624" s="32">
        <v>5640</v>
      </c>
      <c r="P624" s="33">
        <f t="shared" si="187"/>
        <v>5640</v>
      </c>
    </row>
    <row r="625" spans="2:16" ht="15" customHeight="1">
      <c r="B625" s="712"/>
      <c r="C625" s="30" t="s">
        <v>28</v>
      </c>
      <c r="D625" s="31">
        <v>764</v>
      </c>
      <c r="E625" s="32">
        <v>911</v>
      </c>
      <c r="F625" s="31">
        <v>892</v>
      </c>
      <c r="G625" s="32">
        <v>748</v>
      </c>
      <c r="H625" s="32">
        <v>1420</v>
      </c>
      <c r="I625" s="32">
        <v>1972</v>
      </c>
      <c r="J625" s="32">
        <v>1272</v>
      </c>
      <c r="K625" s="32">
        <v>717</v>
      </c>
      <c r="L625" s="32">
        <v>1004</v>
      </c>
      <c r="M625" s="32">
        <v>927</v>
      </c>
      <c r="N625" s="32">
        <v>927</v>
      </c>
      <c r="O625" s="32">
        <v>1494</v>
      </c>
      <c r="P625" s="33">
        <f t="shared" si="187"/>
        <v>13048</v>
      </c>
    </row>
    <row r="626" spans="2:16" ht="15" customHeight="1">
      <c r="B626" s="713"/>
      <c r="C626" s="42" t="s">
        <v>6</v>
      </c>
      <c r="D626" s="43">
        <f t="shared" ref="D626:P626" si="188">SUM(D619:D625)</f>
        <v>14197</v>
      </c>
      <c r="E626" s="43">
        <f t="shared" si="188"/>
        <v>17522</v>
      </c>
      <c r="F626" s="43">
        <f t="shared" si="188"/>
        <v>18972</v>
      </c>
      <c r="G626" s="43">
        <f t="shared" si="188"/>
        <v>19070</v>
      </c>
      <c r="H626" s="43">
        <f t="shared" si="188"/>
        <v>21233</v>
      </c>
      <c r="I626" s="43">
        <f t="shared" si="188"/>
        <v>23990</v>
      </c>
      <c r="J626" s="43">
        <f t="shared" si="188"/>
        <v>19534</v>
      </c>
      <c r="K626" s="43">
        <f t="shared" si="188"/>
        <v>14571</v>
      </c>
      <c r="L626" s="43">
        <f t="shared" si="188"/>
        <v>21118</v>
      </c>
      <c r="M626" s="43">
        <f t="shared" si="188"/>
        <v>20195</v>
      </c>
      <c r="N626" s="43">
        <f t="shared" si="188"/>
        <v>21642</v>
      </c>
      <c r="O626" s="43">
        <f t="shared" si="188"/>
        <v>27686</v>
      </c>
      <c r="P626" s="44">
        <f t="shared" si="188"/>
        <v>239730</v>
      </c>
    </row>
    <row r="627" spans="2:16" ht="15" customHeight="1">
      <c r="B627" s="717" t="s">
        <v>167</v>
      </c>
      <c r="C627" s="30" t="s">
        <v>29</v>
      </c>
      <c r="D627" s="31">
        <v>393</v>
      </c>
      <c r="E627" s="32">
        <v>380</v>
      </c>
      <c r="F627" s="32">
        <v>779</v>
      </c>
      <c r="G627" s="32">
        <v>802</v>
      </c>
      <c r="H627" s="32">
        <v>1027</v>
      </c>
      <c r="I627" s="32">
        <v>1483</v>
      </c>
      <c r="J627" s="32">
        <v>779</v>
      </c>
      <c r="K627" s="32">
        <v>654</v>
      </c>
      <c r="L627" s="32">
        <v>964</v>
      </c>
      <c r="M627" s="32">
        <v>902</v>
      </c>
      <c r="N627" s="32">
        <v>706</v>
      </c>
      <c r="O627" s="32">
        <v>812</v>
      </c>
      <c r="P627" s="33">
        <f t="shared" ref="P627:P633" si="189">SUM(D627:O627)</f>
        <v>9681</v>
      </c>
    </row>
    <row r="628" spans="2:16" ht="15" customHeight="1">
      <c r="B628" s="714"/>
      <c r="C628" s="30" t="s">
        <v>30</v>
      </c>
      <c r="D628" s="31">
        <v>1070</v>
      </c>
      <c r="E628" s="32">
        <v>1123</v>
      </c>
      <c r="F628" s="32">
        <v>1226</v>
      </c>
      <c r="G628" s="32">
        <v>1485</v>
      </c>
      <c r="H628" s="32">
        <v>1966</v>
      </c>
      <c r="I628" s="32">
        <v>2216</v>
      </c>
      <c r="J628" s="32">
        <v>1818</v>
      </c>
      <c r="K628" s="32">
        <v>1456</v>
      </c>
      <c r="L628" s="32">
        <v>2541</v>
      </c>
      <c r="M628" s="32">
        <v>1844</v>
      </c>
      <c r="N628" s="32">
        <v>1987</v>
      </c>
      <c r="O628" s="32">
        <v>2645</v>
      </c>
      <c r="P628" s="33">
        <f t="shared" si="189"/>
        <v>21377</v>
      </c>
    </row>
    <row r="629" spans="2:16" ht="15" customHeight="1">
      <c r="B629" s="714"/>
      <c r="C629" s="30" t="s">
        <v>31</v>
      </c>
      <c r="D629" s="31">
        <v>1446</v>
      </c>
      <c r="E629" s="32">
        <v>2010</v>
      </c>
      <c r="F629" s="32">
        <v>2052</v>
      </c>
      <c r="G629" s="32">
        <v>1518</v>
      </c>
      <c r="H629" s="32">
        <v>2191</v>
      </c>
      <c r="I629" s="32">
        <v>2719</v>
      </c>
      <c r="J629" s="32">
        <v>1976</v>
      </c>
      <c r="K629" s="32">
        <v>1041</v>
      </c>
      <c r="L629" s="32">
        <v>1908</v>
      </c>
      <c r="M629" s="32">
        <v>1502</v>
      </c>
      <c r="N629" s="32">
        <v>1315</v>
      </c>
      <c r="O629" s="32">
        <v>1561</v>
      </c>
      <c r="P629" s="33">
        <f t="shared" si="189"/>
        <v>21239</v>
      </c>
    </row>
    <row r="630" spans="2:16" ht="15" customHeight="1">
      <c r="B630" s="714"/>
      <c r="C630" s="30" t="s">
        <v>73</v>
      </c>
      <c r="D630" s="31">
        <v>1520</v>
      </c>
      <c r="E630" s="32">
        <v>1697</v>
      </c>
      <c r="F630" s="32">
        <v>1930</v>
      </c>
      <c r="G630" s="32">
        <v>1847</v>
      </c>
      <c r="H630" s="32">
        <v>2678</v>
      </c>
      <c r="I630" s="32">
        <v>3824</v>
      </c>
      <c r="J630" s="32">
        <v>2890</v>
      </c>
      <c r="K630" s="32">
        <v>1501</v>
      </c>
      <c r="L630" s="32">
        <v>2188</v>
      </c>
      <c r="M630" s="32">
        <v>2224</v>
      </c>
      <c r="N630" s="32">
        <v>2341</v>
      </c>
      <c r="O630" s="32">
        <v>3234</v>
      </c>
      <c r="P630" s="33">
        <f t="shared" si="189"/>
        <v>27874</v>
      </c>
    </row>
    <row r="631" spans="2:16" ht="15" customHeight="1">
      <c r="B631" s="714"/>
      <c r="C631" s="30" t="s">
        <v>151</v>
      </c>
      <c r="D631" s="31">
        <v>536</v>
      </c>
      <c r="E631" s="32">
        <v>453</v>
      </c>
      <c r="F631" s="32">
        <v>50</v>
      </c>
      <c r="G631" s="32">
        <v>0</v>
      </c>
      <c r="H631" s="32">
        <v>0</v>
      </c>
      <c r="I631" s="32"/>
      <c r="J631" s="32"/>
      <c r="K631" s="32"/>
      <c r="L631" s="32"/>
      <c r="M631" s="32"/>
      <c r="N631" s="32"/>
      <c r="O631" s="32"/>
      <c r="P631" s="33">
        <f t="shared" si="189"/>
        <v>1039</v>
      </c>
    </row>
    <row r="632" spans="2:16" ht="15" customHeight="1">
      <c r="B632" s="714"/>
      <c r="C632" s="30" t="s">
        <v>34</v>
      </c>
      <c r="D632" s="31">
        <v>0</v>
      </c>
      <c r="E632" s="32">
        <v>0</v>
      </c>
      <c r="F632" s="32">
        <v>0</v>
      </c>
      <c r="G632" s="32">
        <v>0</v>
      </c>
      <c r="H632" s="32">
        <v>4740</v>
      </c>
      <c r="I632" s="32">
        <v>7025</v>
      </c>
      <c r="J632" s="32">
        <v>4260</v>
      </c>
      <c r="K632" s="32">
        <v>3264</v>
      </c>
      <c r="L632" s="32">
        <v>5103</v>
      </c>
      <c r="M632" s="32">
        <v>4406</v>
      </c>
      <c r="N632" s="32">
        <v>5316</v>
      </c>
      <c r="O632" s="32">
        <v>5059</v>
      </c>
      <c r="P632" s="33">
        <f t="shared" si="189"/>
        <v>39173</v>
      </c>
    </row>
    <row r="633" spans="2:16" ht="15" customHeight="1">
      <c r="B633" s="714"/>
      <c r="C633" s="30" t="s">
        <v>35</v>
      </c>
      <c r="D633" s="31">
        <v>454</v>
      </c>
      <c r="E633" s="32">
        <v>481</v>
      </c>
      <c r="F633" s="32">
        <v>504</v>
      </c>
      <c r="G633" s="32">
        <v>374</v>
      </c>
      <c r="H633" s="32">
        <v>668</v>
      </c>
      <c r="I633" s="32">
        <v>865</v>
      </c>
      <c r="J633" s="32">
        <v>378</v>
      </c>
      <c r="K633" s="32">
        <v>402</v>
      </c>
      <c r="L633" s="32">
        <v>434</v>
      </c>
      <c r="M633" s="32">
        <v>509</v>
      </c>
      <c r="N633" s="32">
        <v>564</v>
      </c>
      <c r="O633" s="32">
        <v>787</v>
      </c>
      <c r="P633" s="33">
        <f t="shared" si="189"/>
        <v>6420</v>
      </c>
    </row>
    <row r="634" spans="2:16" ht="15" customHeight="1" thickBot="1">
      <c r="B634" s="715"/>
      <c r="C634" s="42" t="s">
        <v>6</v>
      </c>
      <c r="D634" s="43">
        <f t="shared" ref="D634:P634" si="190">SUM(D627:D633)</f>
        <v>5419</v>
      </c>
      <c r="E634" s="43">
        <f t="shared" si="190"/>
        <v>6144</v>
      </c>
      <c r="F634" s="43">
        <f t="shared" si="190"/>
        <v>6541</v>
      </c>
      <c r="G634" s="43">
        <f t="shared" si="190"/>
        <v>6026</v>
      </c>
      <c r="H634" s="43">
        <f t="shared" si="190"/>
        <v>13270</v>
      </c>
      <c r="I634" s="43">
        <f t="shared" si="190"/>
        <v>18132</v>
      </c>
      <c r="J634" s="43">
        <f t="shared" si="190"/>
        <v>12101</v>
      </c>
      <c r="K634" s="43">
        <f t="shared" si="190"/>
        <v>8318</v>
      </c>
      <c r="L634" s="43">
        <f t="shared" si="190"/>
        <v>13138</v>
      </c>
      <c r="M634" s="43">
        <f t="shared" si="190"/>
        <v>11387</v>
      </c>
      <c r="N634" s="43">
        <f t="shared" si="190"/>
        <v>12229</v>
      </c>
      <c r="O634" s="43">
        <f t="shared" si="190"/>
        <v>14098</v>
      </c>
      <c r="P634" s="44">
        <f t="shared" si="190"/>
        <v>126803</v>
      </c>
    </row>
    <row r="635" spans="2:16" ht="15" customHeight="1">
      <c r="B635" s="716" t="s">
        <v>36</v>
      </c>
      <c r="C635" s="47" t="s">
        <v>37</v>
      </c>
      <c r="D635" s="48">
        <v>2390</v>
      </c>
      <c r="E635" s="49">
        <v>3557</v>
      </c>
      <c r="F635" s="49">
        <v>4395</v>
      </c>
      <c r="G635" s="49">
        <v>3587</v>
      </c>
      <c r="H635" s="49">
        <v>3362</v>
      </c>
      <c r="I635" s="49">
        <v>3622</v>
      </c>
      <c r="J635" s="49">
        <v>2897</v>
      </c>
      <c r="K635" s="49">
        <v>2004</v>
      </c>
      <c r="L635" s="49">
        <v>4399</v>
      </c>
      <c r="M635" s="49">
        <v>4181</v>
      </c>
      <c r="N635" s="49">
        <v>4498</v>
      </c>
      <c r="O635" s="49">
        <v>4432</v>
      </c>
      <c r="P635" s="50">
        <f>SUM(D635:O635)</f>
        <v>43324</v>
      </c>
    </row>
    <row r="636" spans="2:16" ht="15" customHeight="1">
      <c r="B636" s="717"/>
      <c r="C636" s="22" t="s">
        <v>38</v>
      </c>
      <c r="D636" s="23">
        <v>50</v>
      </c>
      <c r="E636" s="24">
        <v>84</v>
      </c>
      <c r="F636" s="24">
        <v>135</v>
      </c>
      <c r="G636" s="24">
        <v>110</v>
      </c>
      <c r="H636" s="24">
        <v>104</v>
      </c>
      <c r="I636" s="24">
        <v>117</v>
      </c>
      <c r="J636" s="24">
        <v>75</v>
      </c>
      <c r="K636" s="24">
        <v>79</v>
      </c>
      <c r="L636" s="24">
        <v>141</v>
      </c>
      <c r="M636" s="24">
        <v>60</v>
      </c>
      <c r="N636" s="24">
        <v>52</v>
      </c>
      <c r="O636" s="24">
        <v>96</v>
      </c>
      <c r="P636" s="25">
        <f>SUM(D636:O636)</f>
        <v>1103</v>
      </c>
    </row>
    <row r="637" spans="2:16" ht="15" customHeight="1">
      <c r="B637" s="717"/>
      <c r="C637" s="22" t="s">
        <v>39</v>
      </c>
      <c r="D637" s="23"/>
      <c r="E637" s="24"/>
      <c r="F637" s="24"/>
      <c r="G637" s="24">
        <v>217</v>
      </c>
      <c r="H637" s="24">
        <v>133</v>
      </c>
      <c r="I637" s="24">
        <v>145</v>
      </c>
      <c r="J637" s="24">
        <v>204</v>
      </c>
      <c r="K637" s="24">
        <v>212</v>
      </c>
      <c r="L637" s="24">
        <v>210</v>
      </c>
      <c r="M637" s="24">
        <v>194</v>
      </c>
      <c r="N637" s="24">
        <v>266</v>
      </c>
      <c r="O637" s="24">
        <v>211</v>
      </c>
      <c r="P637" s="25">
        <f>SUM(D637:O637)</f>
        <v>1792</v>
      </c>
    </row>
    <row r="638" spans="2:16" ht="15" customHeight="1" thickBot="1">
      <c r="B638" s="718"/>
      <c r="C638" s="51" t="s">
        <v>6</v>
      </c>
      <c r="D638" s="52">
        <f t="shared" ref="D638:P638" si="191">SUM(D635:D637)</f>
        <v>2440</v>
      </c>
      <c r="E638" s="52">
        <f t="shared" si="191"/>
        <v>3641</v>
      </c>
      <c r="F638" s="52">
        <f t="shared" si="191"/>
        <v>4530</v>
      </c>
      <c r="G638" s="52">
        <f t="shared" si="191"/>
        <v>3914</v>
      </c>
      <c r="H638" s="52">
        <f t="shared" si="191"/>
        <v>3599</v>
      </c>
      <c r="I638" s="52">
        <f t="shared" si="191"/>
        <v>3884</v>
      </c>
      <c r="J638" s="52">
        <f t="shared" si="191"/>
        <v>3176</v>
      </c>
      <c r="K638" s="52">
        <f t="shared" si="191"/>
        <v>2295</v>
      </c>
      <c r="L638" s="52">
        <f t="shared" si="191"/>
        <v>4750</v>
      </c>
      <c r="M638" s="52">
        <f t="shared" si="191"/>
        <v>4435</v>
      </c>
      <c r="N638" s="52">
        <f t="shared" si="191"/>
        <v>4816</v>
      </c>
      <c r="O638" s="52">
        <f t="shared" si="191"/>
        <v>4739</v>
      </c>
      <c r="P638" s="53">
        <f t="shared" si="191"/>
        <v>46219</v>
      </c>
    </row>
    <row r="639" spans="2:16" ht="15" customHeight="1" thickBot="1">
      <c r="B639" s="704" t="s">
        <v>40</v>
      </c>
      <c r="C639" s="705"/>
      <c r="D639" s="54">
        <f t="shared" ref="D639:P639" si="192">D626+D634+D638</f>
        <v>22056</v>
      </c>
      <c r="E639" s="54">
        <f t="shared" si="192"/>
        <v>27307</v>
      </c>
      <c r="F639" s="54">
        <f t="shared" si="192"/>
        <v>30043</v>
      </c>
      <c r="G639" s="54">
        <f t="shared" si="192"/>
        <v>29010</v>
      </c>
      <c r="H639" s="54">
        <f t="shared" si="192"/>
        <v>38102</v>
      </c>
      <c r="I639" s="54">
        <f t="shared" si="192"/>
        <v>46006</v>
      </c>
      <c r="J639" s="54">
        <f t="shared" si="192"/>
        <v>34811</v>
      </c>
      <c r="K639" s="54">
        <f t="shared" si="192"/>
        <v>25184</v>
      </c>
      <c r="L639" s="54">
        <f t="shared" si="192"/>
        <v>39006</v>
      </c>
      <c r="M639" s="54">
        <f t="shared" si="192"/>
        <v>36017</v>
      </c>
      <c r="N639" s="54">
        <f t="shared" si="192"/>
        <v>38687</v>
      </c>
      <c r="O639" s="54">
        <f t="shared" si="192"/>
        <v>46523</v>
      </c>
      <c r="P639" s="55">
        <f t="shared" si="192"/>
        <v>412752</v>
      </c>
    </row>
    <row r="640" spans="2:16" ht="15" customHeight="1"/>
    <row r="641" spans="2:16" ht="15" customHeight="1"/>
    <row r="642" spans="2:16" ht="15" customHeight="1" thickBot="1">
      <c r="B642" s="307" t="s">
        <v>178</v>
      </c>
      <c r="C642" s="307"/>
    </row>
    <row r="643" spans="2:16" ht="15" customHeight="1" thickBot="1">
      <c r="B643" s="710" t="s">
        <v>19</v>
      </c>
      <c r="C643" s="711"/>
      <c r="D643" s="19">
        <v>1</v>
      </c>
      <c r="E643" s="20">
        <v>2</v>
      </c>
      <c r="F643" s="20">
        <v>3</v>
      </c>
      <c r="G643" s="20">
        <v>4</v>
      </c>
      <c r="H643" s="20">
        <v>5</v>
      </c>
      <c r="I643" s="20">
        <v>6</v>
      </c>
      <c r="J643" s="20">
        <v>7</v>
      </c>
      <c r="K643" s="20">
        <v>8</v>
      </c>
      <c r="L643" s="20">
        <v>9</v>
      </c>
      <c r="M643" s="20">
        <v>10</v>
      </c>
      <c r="N643" s="20">
        <v>11</v>
      </c>
      <c r="O643" s="20">
        <v>12</v>
      </c>
      <c r="P643" s="21" t="s">
        <v>6</v>
      </c>
    </row>
    <row r="644" spans="2:16" ht="15" customHeight="1">
      <c r="B644" s="712" t="s">
        <v>20</v>
      </c>
      <c r="C644" s="22" t="s">
        <v>22</v>
      </c>
      <c r="D644" s="23">
        <v>7848</v>
      </c>
      <c r="E644" s="24">
        <v>8756</v>
      </c>
      <c r="F644" s="23">
        <v>9421</v>
      </c>
      <c r="G644" s="24">
        <v>7030</v>
      </c>
      <c r="H644" s="24">
        <v>7002</v>
      </c>
      <c r="I644" s="24">
        <v>7512</v>
      </c>
      <c r="J644" s="24">
        <v>5060</v>
      </c>
      <c r="K644" s="24">
        <v>4940</v>
      </c>
      <c r="L644" s="24">
        <v>4300</v>
      </c>
      <c r="M644" s="24">
        <v>7594</v>
      </c>
      <c r="N644" s="24">
        <v>7596</v>
      </c>
      <c r="O644" s="24">
        <v>7118</v>
      </c>
      <c r="P644" s="25">
        <f t="shared" ref="P644:P649" si="193">SUM(D644:O644)</f>
        <v>84177</v>
      </c>
    </row>
    <row r="645" spans="2:16" ht="15" customHeight="1">
      <c r="B645" s="712"/>
      <c r="C645" s="30" t="s">
        <v>23</v>
      </c>
      <c r="D645" s="31">
        <v>1484</v>
      </c>
      <c r="E645" s="32">
        <v>1654</v>
      </c>
      <c r="F645" s="31">
        <v>2485</v>
      </c>
      <c r="G645" s="32">
        <v>2521</v>
      </c>
      <c r="H645" s="32">
        <v>2546</v>
      </c>
      <c r="I645" s="32">
        <v>2049</v>
      </c>
      <c r="J645" s="32">
        <v>2129</v>
      </c>
      <c r="K645" s="32">
        <v>1860</v>
      </c>
      <c r="L645" s="32">
        <v>1534</v>
      </c>
      <c r="M645" s="32">
        <v>1550</v>
      </c>
      <c r="N645" s="32">
        <v>1067</v>
      </c>
      <c r="O645" s="32">
        <v>1318</v>
      </c>
      <c r="P645" s="33">
        <f t="shared" si="193"/>
        <v>22197</v>
      </c>
    </row>
    <row r="646" spans="2:16" ht="15" customHeight="1">
      <c r="B646" s="712"/>
      <c r="C646" s="30" t="s">
        <v>166</v>
      </c>
      <c r="D646" s="31">
        <v>434</v>
      </c>
      <c r="E646" s="32">
        <v>625</v>
      </c>
      <c r="F646" s="31">
        <v>660</v>
      </c>
      <c r="G646" s="32">
        <v>744</v>
      </c>
      <c r="H646" s="32">
        <v>465</v>
      </c>
      <c r="I646" s="32">
        <v>329</v>
      </c>
      <c r="J646" s="32">
        <v>643</v>
      </c>
      <c r="K646" s="32">
        <v>607</v>
      </c>
      <c r="L646" s="32">
        <v>536</v>
      </c>
      <c r="M646" s="32">
        <v>384</v>
      </c>
      <c r="N646" s="32">
        <v>292</v>
      </c>
      <c r="O646" s="32">
        <v>196</v>
      </c>
      <c r="P646" s="33">
        <f t="shared" si="193"/>
        <v>5915</v>
      </c>
    </row>
    <row r="647" spans="2:16" ht="15" customHeight="1">
      <c r="B647" s="712"/>
      <c r="C647" s="30" t="s">
        <v>24</v>
      </c>
      <c r="D647" s="31"/>
      <c r="E647" s="32"/>
      <c r="F647" s="31"/>
      <c r="G647" s="32"/>
      <c r="H647" s="32"/>
      <c r="I647" s="32"/>
      <c r="J647" s="32"/>
      <c r="K647" s="32">
        <v>1327</v>
      </c>
      <c r="L647" s="32">
        <v>4036</v>
      </c>
      <c r="M647" s="32">
        <v>5588</v>
      </c>
      <c r="N647" s="32">
        <v>2775</v>
      </c>
      <c r="O647" s="32">
        <v>3943</v>
      </c>
      <c r="P647" s="33">
        <f t="shared" si="193"/>
        <v>17669</v>
      </c>
    </row>
    <row r="648" spans="2:16" ht="15" customHeight="1">
      <c r="B648" s="712"/>
      <c r="C648" s="30" t="s">
        <v>25</v>
      </c>
      <c r="D648" s="31">
        <v>2000</v>
      </c>
      <c r="E648" s="32">
        <v>2149</v>
      </c>
      <c r="F648" s="31">
        <v>2194</v>
      </c>
      <c r="G648" s="32">
        <v>4016</v>
      </c>
      <c r="H648" s="32">
        <v>3326</v>
      </c>
      <c r="I648" s="32">
        <v>5117</v>
      </c>
      <c r="J648" s="32">
        <v>6912</v>
      </c>
      <c r="K648" s="32">
        <v>5017</v>
      </c>
      <c r="L648" s="32">
        <v>3904</v>
      </c>
      <c r="M648" s="32">
        <v>3906</v>
      </c>
      <c r="N648" s="32">
        <v>2508</v>
      </c>
      <c r="O648" s="32">
        <v>2909</v>
      </c>
      <c r="P648" s="33">
        <f t="shared" si="193"/>
        <v>43958</v>
      </c>
    </row>
    <row r="649" spans="2:16" ht="15" customHeight="1">
      <c r="B649" s="712"/>
      <c r="C649" s="30" t="s">
        <v>28</v>
      </c>
      <c r="D649" s="31">
        <v>1306</v>
      </c>
      <c r="E649" s="32">
        <v>1238</v>
      </c>
      <c r="F649" s="31">
        <v>1418</v>
      </c>
      <c r="G649" s="32">
        <v>1577</v>
      </c>
      <c r="H649" s="32">
        <v>1700</v>
      </c>
      <c r="I649" s="32">
        <v>1555</v>
      </c>
      <c r="J649" s="32">
        <v>1623</v>
      </c>
      <c r="K649" s="32">
        <v>1002</v>
      </c>
      <c r="L649" s="32">
        <v>1000</v>
      </c>
      <c r="M649" s="32">
        <v>850</v>
      </c>
      <c r="N649" s="32">
        <v>755</v>
      </c>
      <c r="O649" s="32">
        <v>1256</v>
      </c>
      <c r="P649" s="33">
        <f t="shared" si="193"/>
        <v>15280</v>
      </c>
    </row>
    <row r="650" spans="2:16" ht="15" customHeight="1">
      <c r="B650" s="713"/>
      <c r="C650" s="42" t="s">
        <v>6</v>
      </c>
      <c r="D650" s="43">
        <f t="shared" ref="D650:P650" si="194">SUM(D644:D649)</f>
        <v>13072</v>
      </c>
      <c r="E650" s="43">
        <f t="shared" si="194"/>
        <v>14422</v>
      </c>
      <c r="F650" s="43">
        <f t="shared" si="194"/>
        <v>16178</v>
      </c>
      <c r="G650" s="43">
        <f t="shared" si="194"/>
        <v>15888</v>
      </c>
      <c r="H650" s="43">
        <f t="shared" si="194"/>
        <v>15039</v>
      </c>
      <c r="I650" s="43">
        <f t="shared" si="194"/>
        <v>16562</v>
      </c>
      <c r="J650" s="43">
        <f t="shared" si="194"/>
        <v>16367</v>
      </c>
      <c r="K650" s="43">
        <f t="shared" si="194"/>
        <v>14753</v>
      </c>
      <c r="L650" s="43">
        <f t="shared" si="194"/>
        <v>15310</v>
      </c>
      <c r="M650" s="43">
        <f t="shared" si="194"/>
        <v>19872</v>
      </c>
      <c r="N650" s="43">
        <f t="shared" si="194"/>
        <v>14993</v>
      </c>
      <c r="O650" s="43">
        <f t="shared" si="194"/>
        <v>16740</v>
      </c>
      <c r="P650" s="44">
        <f t="shared" si="194"/>
        <v>189196</v>
      </c>
    </row>
    <row r="651" spans="2:16" ht="15" customHeight="1">
      <c r="B651" s="717" t="s">
        <v>167</v>
      </c>
      <c r="C651" s="30" t="s">
        <v>29</v>
      </c>
      <c r="D651" s="31">
        <v>1014</v>
      </c>
      <c r="E651" s="32">
        <v>888</v>
      </c>
      <c r="F651" s="32">
        <v>1522</v>
      </c>
      <c r="G651" s="32">
        <v>2334</v>
      </c>
      <c r="H651" s="32">
        <v>3492</v>
      </c>
      <c r="I651" s="32">
        <v>2783</v>
      </c>
      <c r="J651" s="32">
        <v>2494</v>
      </c>
      <c r="K651" s="32">
        <v>1545</v>
      </c>
      <c r="L651" s="32">
        <v>832</v>
      </c>
      <c r="M651" s="32">
        <v>1004</v>
      </c>
      <c r="N651" s="32">
        <v>622</v>
      </c>
      <c r="O651" s="32">
        <v>275</v>
      </c>
      <c r="P651" s="33">
        <f t="shared" ref="P651:P656" si="195">SUM(D651:O651)</f>
        <v>18805</v>
      </c>
    </row>
    <row r="652" spans="2:16" ht="15" customHeight="1">
      <c r="B652" s="714"/>
      <c r="C652" s="30" t="s">
        <v>30</v>
      </c>
      <c r="D652" s="31">
        <v>1701</v>
      </c>
      <c r="E652" s="32">
        <v>1530</v>
      </c>
      <c r="F652" s="32">
        <v>1934</v>
      </c>
      <c r="G652" s="32">
        <v>1871</v>
      </c>
      <c r="H652" s="32">
        <v>1807</v>
      </c>
      <c r="I652" s="32">
        <v>1462</v>
      </c>
      <c r="J652" s="32">
        <v>2070</v>
      </c>
      <c r="K652" s="32">
        <v>1318</v>
      </c>
      <c r="L652" s="32">
        <v>1330</v>
      </c>
      <c r="M652" s="32">
        <v>1248</v>
      </c>
      <c r="N652" s="32">
        <v>1325</v>
      </c>
      <c r="O652" s="32">
        <v>1578</v>
      </c>
      <c r="P652" s="33">
        <f t="shared" si="195"/>
        <v>19174</v>
      </c>
    </row>
    <row r="653" spans="2:16" ht="15" customHeight="1">
      <c r="B653" s="714"/>
      <c r="C653" s="30" t="s">
        <v>31</v>
      </c>
      <c r="D653" s="31"/>
      <c r="E653" s="32"/>
      <c r="F653" s="32"/>
      <c r="G653" s="32"/>
      <c r="H653" s="32"/>
      <c r="I653" s="32"/>
      <c r="J653" s="32"/>
      <c r="K653" s="32"/>
      <c r="L653" s="32">
        <v>1170</v>
      </c>
      <c r="M653" s="32">
        <v>4404</v>
      </c>
      <c r="N653" s="32">
        <v>2311</v>
      </c>
      <c r="O653" s="32">
        <v>1689</v>
      </c>
      <c r="P653" s="33">
        <f t="shared" si="195"/>
        <v>9574</v>
      </c>
    </row>
    <row r="654" spans="2:16" ht="15" customHeight="1">
      <c r="B654" s="714"/>
      <c r="C654" s="30" t="s">
        <v>73</v>
      </c>
      <c r="D654" s="31">
        <v>1367</v>
      </c>
      <c r="E654" s="32">
        <v>2170</v>
      </c>
      <c r="F654" s="32">
        <v>3005</v>
      </c>
      <c r="G654" s="32">
        <v>2203</v>
      </c>
      <c r="H654" s="32">
        <v>1468</v>
      </c>
      <c r="I654" s="32">
        <v>1039</v>
      </c>
      <c r="J654" s="32">
        <v>2208</v>
      </c>
      <c r="K654" s="32">
        <v>2058</v>
      </c>
      <c r="L654" s="32">
        <v>1736</v>
      </c>
      <c r="M654" s="32">
        <v>2236</v>
      </c>
      <c r="N654" s="32">
        <v>1978</v>
      </c>
      <c r="O654" s="32">
        <v>2506</v>
      </c>
      <c r="P654" s="33">
        <f t="shared" si="195"/>
        <v>23974</v>
      </c>
    </row>
    <row r="655" spans="2:16" ht="15" customHeight="1">
      <c r="B655" s="714"/>
      <c r="C655" s="30" t="s">
        <v>151</v>
      </c>
      <c r="D655" s="31">
        <v>812</v>
      </c>
      <c r="E655" s="32">
        <v>830</v>
      </c>
      <c r="F655" s="32">
        <v>616</v>
      </c>
      <c r="G655" s="32">
        <v>493</v>
      </c>
      <c r="H655" s="32">
        <v>293</v>
      </c>
      <c r="I655" s="32">
        <v>286</v>
      </c>
      <c r="J655" s="32">
        <v>329</v>
      </c>
      <c r="K655" s="32">
        <v>324</v>
      </c>
      <c r="L655" s="32">
        <v>416</v>
      </c>
      <c r="M655" s="32">
        <v>394</v>
      </c>
      <c r="N655" s="32">
        <v>377</v>
      </c>
      <c r="O655" s="32">
        <v>967</v>
      </c>
      <c r="P655" s="33">
        <f t="shared" si="195"/>
        <v>6137</v>
      </c>
    </row>
    <row r="656" spans="2:16" ht="15" customHeight="1">
      <c r="B656" s="714"/>
      <c r="C656" s="30" t="s">
        <v>35</v>
      </c>
      <c r="D656" s="31">
        <v>1278</v>
      </c>
      <c r="E656" s="32">
        <v>1108</v>
      </c>
      <c r="F656" s="32">
        <v>1162</v>
      </c>
      <c r="G656" s="32">
        <v>975</v>
      </c>
      <c r="H656" s="32">
        <v>663</v>
      </c>
      <c r="I656" s="32">
        <v>539</v>
      </c>
      <c r="J656" s="32">
        <v>549</v>
      </c>
      <c r="K656" s="32">
        <v>336</v>
      </c>
      <c r="L656" s="32">
        <v>477</v>
      </c>
      <c r="M656" s="32">
        <v>434</v>
      </c>
      <c r="N656" s="32">
        <v>517</v>
      </c>
      <c r="O656" s="32">
        <v>862</v>
      </c>
      <c r="P656" s="33">
        <f t="shared" si="195"/>
        <v>8900</v>
      </c>
    </row>
    <row r="657" spans="2:16" ht="15" customHeight="1" thickBot="1">
      <c r="B657" s="715"/>
      <c r="C657" s="42" t="s">
        <v>6</v>
      </c>
      <c r="D657" s="43">
        <f t="shared" ref="D657:P657" si="196">SUM(D651:D656)</f>
        <v>6172</v>
      </c>
      <c r="E657" s="43">
        <f t="shared" si="196"/>
        <v>6526</v>
      </c>
      <c r="F657" s="43">
        <f t="shared" si="196"/>
        <v>8239</v>
      </c>
      <c r="G657" s="43">
        <f t="shared" si="196"/>
        <v>7876</v>
      </c>
      <c r="H657" s="43">
        <f t="shared" si="196"/>
        <v>7723</v>
      </c>
      <c r="I657" s="43">
        <f t="shared" si="196"/>
        <v>6109</v>
      </c>
      <c r="J657" s="43">
        <f t="shared" si="196"/>
        <v>7650</v>
      </c>
      <c r="K657" s="43">
        <f t="shared" si="196"/>
        <v>5581</v>
      </c>
      <c r="L657" s="43">
        <f t="shared" si="196"/>
        <v>5961</v>
      </c>
      <c r="M657" s="43">
        <f t="shared" si="196"/>
        <v>9720</v>
      </c>
      <c r="N657" s="43">
        <f t="shared" si="196"/>
        <v>7130</v>
      </c>
      <c r="O657" s="43">
        <f t="shared" si="196"/>
        <v>7877</v>
      </c>
      <c r="P657" s="44">
        <f t="shared" si="196"/>
        <v>86564</v>
      </c>
    </row>
    <row r="658" spans="2:16" ht="15" customHeight="1">
      <c r="B658" s="716" t="s">
        <v>36</v>
      </c>
      <c r="C658" s="47" t="s">
        <v>37</v>
      </c>
      <c r="D658" s="48">
        <v>2690</v>
      </c>
      <c r="E658" s="49">
        <v>2959</v>
      </c>
      <c r="F658" s="49">
        <v>3668</v>
      </c>
      <c r="G658" s="49">
        <v>3539</v>
      </c>
      <c r="H658" s="49">
        <v>3151</v>
      </c>
      <c r="I658" s="49">
        <v>2789</v>
      </c>
      <c r="J658" s="49">
        <v>3429</v>
      </c>
      <c r="K658" s="49">
        <v>2755</v>
      </c>
      <c r="L658" s="49">
        <v>2811</v>
      </c>
      <c r="M658" s="49">
        <v>3664</v>
      </c>
      <c r="N658" s="49">
        <v>3758</v>
      </c>
      <c r="O658" s="49">
        <v>2494</v>
      </c>
      <c r="P658" s="50">
        <f>SUM(D658:O658)</f>
        <v>37707</v>
      </c>
    </row>
    <row r="659" spans="2:16" ht="15" customHeight="1">
      <c r="B659" s="717"/>
      <c r="C659" s="22" t="s">
        <v>38</v>
      </c>
      <c r="D659" s="23">
        <v>103</v>
      </c>
      <c r="E659" s="24">
        <v>151</v>
      </c>
      <c r="F659" s="24">
        <v>171</v>
      </c>
      <c r="G659" s="24">
        <v>110</v>
      </c>
      <c r="H659" s="24">
        <v>90</v>
      </c>
      <c r="I659" s="24">
        <v>63</v>
      </c>
      <c r="J659" s="24">
        <v>51</v>
      </c>
      <c r="K659" s="24">
        <v>91</v>
      </c>
      <c r="L659" s="24">
        <v>51</v>
      </c>
      <c r="M659" s="24">
        <v>55</v>
      </c>
      <c r="N659" s="24">
        <v>46</v>
      </c>
      <c r="O659" s="24">
        <v>52</v>
      </c>
      <c r="P659" s="25">
        <f>SUM(D659:O659)</f>
        <v>1034</v>
      </c>
    </row>
    <row r="660" spans="2:16" ht="15" customHeight="1">
      <c r="B660" s="717"/>
      <c r="C660" s="22" t="s">
        <v>39</v>
      </c>
      <c r="D660" s="23">
        <v>0</v>
      </c>
      <c r="E660" s="24">
        <v>0</v>
      </c>
      <c r="F660" s="24">
        <v>60</v>
      </c>
      <c r="G660" s="24">
        <v>0</v>
      </c>
      <c r="H660" s="24">
        <v>449</v>
      </c>
      <c r="I660" s="24">
        <v>231</v>
      </c>
      <c r="J660" s="24">
        <v>17</v>
      </c>
      <c r="K660" s="24">
        <v>125</v>
      </c>
      <c r="L660" s="24">
        <v>189</v>
      </c>
      <c r="M660" s="24">
        <v>298</v>
      </c>
      <c r="N660" s="24">
        <v>218</v>
      </c>
      <c r="O660" s="24">
        <v>344</v>
      </c>
      <c r="P660" s="25">
        <f>SUM(D660:O660)</f>
        <v>1931</v>
      </c>
    </row>
    <row r="661" spans="2:16" ht="15" customHeight="1" thickBot="1">
      <c r="B661" s="718"/>
      <c r="C661" s="51" t="s">
        <v>6</v>
      </c>
      <c r="D661" s="52">
        <f t="shared" ref="D661:P661" si="197">SUM(D658:D660)</f>
        <v>2793</v>
      </c>
      <c r="E661" s="52">
        <f t="shared" si="197"/>
        <v>3110</v>
      </c>
      <c r="F661" s="52">
        <f t="shared" si="197"/>
        <v>3899</v>
      </c>
      <c r="G661" s="52">
        <f t="shared" si="197"/>
        <v>3649</v>
      </c>
      <c r="H661" s="52">
        <f t="shared" si="197"/>
        <v>3690</v>
      </c>
      <c r="I661" s="52">
        <f t="shared" si="197"/>
        <v>3083</v>
      </c>
      <c r="J661" s="52">
        <f t="shared" si="197"/>
        <v>3497</v>
      </c>
      <c r="K661" s="52">
        <f t="shared" si="197"/>
        <v>2971</v>
      </c>
      <c r="L661" s="52">
        <f t="shared" si="197"/>
        <v>3051</v>
      </c>
      <c r="M661" s="52">
        <f t="shared" si="197"/>
        <v>4017</v>
      </c>
      <c r="N661" s="52">
        <f t="shared" si="197"/>
        <v>4022</v>
      </c>
      <c r="O661" s="52">
        <f t="shared" si="197"/>
        <v>2890</v>
      </c>
      <c r="P661" s="53">
        <f t="shared" si="197"/>
        <v>40672</v>
      </c>
    </row>
    <row r="662" spans="2:16" ht="15" customHeight="1" thickBot="1">
      <c r="B662" s="704" t="s">
        <v>40</v>
      </c>
      <c r="C662" s="705"/>
      <c r="D662" s="54">
        <f t="shared" ref="D662:P662" si="198">D650+D657+D661</f>
        <v>22037</v>
      </c>
      <c r="E662" s="54">
        <f t="shared" si="198"/>
        <v>24058</v>
      </c>
      <c r="F662" s="54">
        <f t="shared" si="198"/>
        <v>28316</v>
      </c>
      <c r="G662" s="54">
        <f t="shared" si="198"/>
        <v>27413</v>
      </c>
      <c r="H662" s="54">
        <f t="shared" si="198"/>
        <v>26452</v>
      </c>
      <c r="I662" s="54">
        <f t="shared" si="198"/>
        <v>25754</v>
      </c>
      <c r="J662" s="54">
        <f t="shared" si="198"/>
        <v>27514</v>
      </c>
      <c r="K662" s="54">
        <f t="shared" si="198"/>
        <v>23305</v>
      </c>
      <c r="L662" s="54">
        <f t="shared" si="198"/>
        <v>24322</v>
      </c>
      <c r="M662" s="54">
        <f t="shared" si="198"/>
        <v>33609</v>
      </c>
      <c r="N662" s="54">
        <f t="shared" si="198"/>
        <v>26145</v>
      </c>
      <c r="O662" s="54">
        <f t="shared" si="198"/>
        <v>27507</v>
      </c>
      <c r="P662" s="55">
        <f t="shared" si="198"/>
        <v>316432</v>
      </c>
    </row>
    <row r="663" spans="2:16" ht="15" customHeight="1"/>
    <row r="664" spans="2:16" ht="15" customHeight="1"/>
    <row r="665" spans="2:16" ht="15" customHeight="1" thickBot="1">
      <c r="B665" s="16" t="s">
        <v>179</v>
      </c>
      <c r="C665" s="16"/>
    </row>
    <row r="666" spans="2:16" ht="15" customHeight="1" thickBot="1">
      <c r="B666" s="710" t="s">
        <v>19</v>
      </c>
      <c r="C666" s="711"/>
      <c r="D666" s="308" t="s">
        <v>180</v>
      </c>
      <c r="E666" s="309" t="s">
        <v>181</v>
      </c>
      <c r="F666" s="309" t="s">
        <v>182</v>
      </c>
      <c r="G666" s="309" t="s">
        <v>183</v>
      </c>
      <c r="H666" s="309" t="s">
        <v>184</v>
      </c>
      <c r="I666" s="309" t="s">
        <v>185</v>
      </c>
      <c r="J666" s="309" t="s">
        <v>186</v>
      </c>
      <c r="K666" s="309" t="s">
        <v>187</v>
      </c>
      <c r="L666" s="309" t="s">
        <v>188</v>
      </c>
      <c r="M666" s="309" t="s">
        <v>189</v>
      </c>
      <c r="N666" s="309" t="s">
        <v>190</v>
      </c>
      <c r="O666" s="309" t="s">
        <v>191</v>
      </c>
      <c r="P666" s="21" t="s">
        <v>6</v>
      </c>
    </row>
    <row r="667" spans="2:16" ht="15" customHeight="1">
      <c r="B667" s="712" t="s">
        <v>20</v>
      </c>
      <c r="C667" s="22" t="s">
        <v>22</v>
      </c>
      <c r="D667" s="23">
        <v>2098</v>
      </c>
      <c r="E667" s="24">
        <v>1955</v>
      </c>
      <c r="F667" s="23">
        <v>1980</v>
      </c>
      <c r="G667" s="24">
        <v>1955</v>
      </c>
      <c r="H667" s="24">
        <v>2437</v>
      </c>
      <c r="I667" s="24">
        <v>2512</v>
      </c>
      <c r="J667" s="24">
        <v>1647</v>
      </c>
      <c r="K667" s="24">
        <v>2320</v>
      </c>
      <c r="L667" s="24">
        <v>2205</v>
      </c>
      <c r="M667" s="24">
        <v>3100</v>
      </c>
      <c r="N667" s="24">
        <v>3050</v>
      </c>
      <c r="O667" s="24">
        <v>3145</v>
      </c>
      <c r="P667" s="25">
        <f>SUM(D667:O667)</f>
        <v>28404</v>
      </c>
    </row>
    <row r="668" spans="2:16" ht="15" customHeight="1">
      <c r="B668" s="712"/>
      <c r="C668" s="30" t="s">
        <v>23</v>
      </c>
      <c r="D668" s="31">
        <v>2209</v>
      </c>
      <c r="E668" s="32">
        <v>1918</v>
      </c>
      <c r="F668" s="31">
        <v>2521</v>
      </c>
      <c r="G668" s="32">
        <v>2477</v>
      </c>
      <c r="H668" s="32">
        <v>2169</v>
      </c>
      <c r="I668" s="32">
        <v>2433</v>
      </c>
      <c r="J668" s="32">
        <v>1899</v>
      </c>
      <c r="K668" s="32">
        <v>2381</v>
      </c>
      <c r="L668" s="32">
        <v>2104</v>
      </c>
      <c r="M668" s="32">
        <v>1928</v>
      </c>
      <c r="N668" s="32">
        <v>1754</v>
      </c>
      <c r="O668" s="32">
        <v>2126</v>
      </c>
      <c r="P668" s="33">
        <f>SUM(D668:O668)</f>
        <v>25919</v>
      </c>
    </row>
    <row r="669" spans="2:16" ht="15" customHeight="1">
      <c r="B669" s="712"/>
      <c r="C669" s="30" t="s">
        <v>166</v>
      </c>
      <c r="D669" s="31">
        <v>1517</v>
      </c>
      <c r="E669" s="32">
        <v>1826</v>
      </c>
      <c r="F669" s="31">
        <v>1626</v>
      </c>
      <c r="G669" s="32">
        <v>1131</v>
      </c>
      <c r="H669" s="32">
        <v>913</v>
      </c>
      <c r="I669" s="32">
        <v>893</v>
      </c>
      <c r="J669" s="32">
        <v>569</v>
      </c>
      <c r="K669" s="32">
        <v>1312</v>
      </c>
      <c r="L669" s="32">
        <v>1179</v>
      </c>
      <c r="M669" s="32">
        <v>1594</v>
      </c>
      <c r="N669" s="32">
        <v>1612</v>
      </c>
      <c r="O669" s="32">
        <v>1709</v>
      </c>
      <c r="P669" s="33">
        <f>SUM(D669:O669)</f>
        <v>15881</v>
      </c>
    </row>
    <row r="670" spans="2:16" ht="15" customHeight="1">
      <c r="B670" s="712"/>
      <c r="C670" s="30" t="s">
        <v>25</v>
      </c>
      <c r="D670" s="31">
        <v>2386</v>
      </c>
      <c r="E670" s="32">
        <v>2346</v>
      </c>
      <c r="F670" s="31">
        <v>2244</v>
      </c>
      <c r="G670" s="32">
        <v>2136</v>
      </c>
      <c r="H670" s="32">
        <v>3454</v>
      </c>
      <c r="I670" s="32">
        <v>2981</v>
      </c>
      <c r="J670" s="32">
        <v>3241</v>
      </c>
      <c r="K670" s="32">
        <v>2770</v>
      </c>
      <c r="L670" s="32">
        <v>2270</v>
      </c>
      <c r="M670" s="32">
        <v>3039</v>
      </c>
      <c r="N670" s="32">
        <f>2129+724</f>
        <v>2853</v>
      </c>
      <c r="O670" s="32">
        <v>2991</v>
      </c>
      <c r="P670" s="33">
        <f>SUM(D670:O670)</f>
        <v>32711</v>
      </c>
    </row>
    <row r="671" spans="2:16" ht="15" customHeight="1">
      <c r="B671" s="712"/>
      <c r="C671" s="30" t="s">
        <v>192</v>
      </c>
      <c r="D671" s="31">
        <v>2623</v>
      </c>
      <c r="E671" s="32">
        <v>2251</v>
      </c>
      <c r="F671" s="31">
        <v>1966</v>
      </c>
      <c r="G671" s="32">
        <v>2009</v>
      </c>
      <c r="H671" s="32">
        <v>2007</v>
      </c>
      <c r="I671" s="32">
        <v>1873</v>
      </c>
      <c r="J671" s="32">
        <v>2007</v>
      </c>
      <c r="K671" s="32">
        <v>1804</v>
      </c>
      <c r="L671" s="32">
        <v>1627</v>
      </c>
      <c r="M671" s="32">
        <v>1771</v>
      </c>
      <c r="N671" s="32">
        <v>1515</v>
      </c>
      <c r="O671" s="32">
        <v>1484</v>
      </c>
      <c r="P671" s="33">
        <f>SUM(D671:O671)</f>
        <v>22937</v>
      </c>
    </row>
    <row r="672" spans="2:16" ht="15" customHeight="1">
      <c r="B672" s="713"/>
      <c r="C672" s="310" t="s">
        <v>6</v>
      </c>
      <c r="D672" s="311">
        <f t="shared" ref="D672:P672" si="199">SUM(D667:D671)</f>
        <v>10833</v>
      </c>
      <c r="E672" s="311">
        <f t="shared" si="199"/>
        <v>10296</v>
      </c>
      <c r="F672" s="311">
        <f t="shared" si="199"/>
        <v>10337</v>
      </c>
      <c r="G672" s="311">
        <f t="shared" si="199"/>
        <v>9708</v>
      </c>
      <c r="H672" s="311">
        <f t="shared" si="199"/>
        <v>10980</v>
      </c>
      <c r="I672" s="311">
        <f t="shared" si="199"/>
        <v>10692</v>
      </c>
      <c r="J672" s="311">
        <f t="shared" si="199"/>
        <v>9363</v>
      </c>
      <c r="K672" s="311">
        <f t="shared" si="199"/>
        <v>10587</v>
      </c>
      <c r="L672" s="311">
        <f t="shared" si="199"/>
        <v>9385</v>
      </c>
      <c r="M672" s="311">
        <f t="shared" si="199"/>
        <v>11432</v>
      </c>
      <c r="N672" s="311">
        <f t="shared" si="199"/>
        <v>10784</v>
      </c>
      <c r="O672" s="311">
        <f t="shared" si="199"/>
        <v>11455</v>
      </c>
      <c r="P672" s="312">
        <f t="shared" si="199"/>
        <v>125852</v>
      </c>
    </row>
    <row r="673" spans="2:16" ht="15" customHeight="1">
      <c r="B673" s="714" t="s">
        <v>12</v>
      </c>
      <c r="C673" s="30" t="s">
        <v>193</v>
      </c>
      <c r="D673" s="31">
        <v>2779</v>
      </c>
      <c r="E673" s="32">
        <v>3419</v>
      </c>
      <c r="F673" s="32">
        <v>2873</v>
      </c>
      <c r="G673" s="32">
        <v>1696</v>
      </c>
      <c r="H673" s="32">
        <v>1593</v>
      </c>
      <c r="I673" s="32">
        <v>1339</v>
      </c>
      <c r="J673" s="32">
        <v>2456</v>
      </c>
      <c r="K673" s="32">
        <v>2470</v>
      </c>
      <c r="L673" s="32">
        <v>2474</v>
      </c>
      <c r="M673" s="32">
        <v>3325</v>
      </c>
      <c r="N673" s="32">
        <v>3397</v>
      </c>
      <c r="O673" s="32">
        <v>4039</v>
      </c>
      <c r="P673" s="33">
        <f>SUM(D673:O673)</f>
        <v>31860</v>
      </c>
    </row>
    <row r="674" spans="2:16" ht="15" customHeight="1">
      <c r="B674" s="714"/>
      <c r="C674" s="30" t="s">
        <v>194</v>
      </c>
      <c r="D674" s="31">
        <v>1605</v>
      </c>
      <c r="E674" s="32">
        <v>1452</v>
      </c>
      <c r="F674" s="32">
        <v>2327</v>
      </c>
      <c r="G674" s="32">
        <v>1063</v>
      </c>
      <c r="H674" s="32">
        <v>1234</v>
      </c>
      <c r="I674" s="32">
        <v>1775</v>
      </c>
      <c r="J674" s="32">
        <f>410+1159</f>
        <v>1569</v>
      </c>
      <c r="K674" s="32">
        <v>1624</v>
      </c>
      <c r="L674" s="32">
        <v>1668</v>
      </c>
      <c r="M674" s="32">
        <v>2089</v>
      </c>
      <c r="N674" s="32">
        <f>439+1664</f>
        <v>2103</v>
      </c>
      <c r="O674" s="32">
        <v>1980</v>
      </c>
      <c r="P674" s="33">
        <f>SUM(D674:O674)</f>
        <v>20489</v>
      </c>
    </row>
    <row r="675" spans="2:16" ht="15" customHeight="1">
      <c r="B675" s="714"/>
      <c r="C675" s="30" t="s">
        <v>195</v>
      </c>
      <c r="D675" s="31">
        <v>2593</v>
      </c>
      <c r="E675" s="32">
        <v>2492</v>
      </c>
      <c r="F675" s="32">
        <v>2221</v>
      </c>
      <c r="G675" s="32">
        <v>2896</v>
      </c>
      <c r="H675" s="32">
        <v>3882</v>
      </c>
      <c r="I675" s="32">
        <v>3104</v>
      </c>
      <c r="J675" s="32">
        <v>2285</v>
      </c>
      <c r="K675" s="32">
        <v>3433</v>
      </c>
      <c r="L675" s="32">
        <v>2511</v>
      </c>
      <c r="M675" s="32">
        <v>2736</v>
      </c>
      <c r="N675" s="32">
        <v>2221</v>
      </c>
      <c r="O675" s="32">
        <v>2189</v>
      </c>
      <c r="P675" s="33">
        <f>SUM(D675:O675)</f>
        <v>32563</v>
      </c>
    </row>
    <row r="676" spans="2:16" ht="15" customHeight="1">
      <c r="B676" s="714"/>
      <c r="C676" s="30" t="s">
        <v>151</v>
      </c>
      <c r="D676" s="31">
        <v>1207</v>
      </c>
      <c r="E676" s="32">
        <v>710</v>
      </c>
      <c r="F676" s="32">
        <v>961</v>
      </c>
      <c r="G676" s="32">
        <v>1358</v>
      </c>
      <c r="H676" s="32">
        <v>1145</v>
      </c>
      <c r="I676" s="32">
        <v>978</v>
      </c>
      <c r="J676" s="32">
        <v>476</v>
      </c>
      <c r="K676" s="32">
        <v>728</v>
      </c>
      <c r="L676" s="32">
        <v>575</v>
      </c>
      <c r="M676" s="32">
        <v>557</v>
      </c>
      <c r="N676" s="32">
        <v>1653</v>
      </c>
      <c r="O676" s="32">
        <v>1615</v>
      </c>
      <c r="P676" s="33">
        <f>SUM(D676:O676)</f>
        <v>11963</v>
      </c>
    </row>
    <row r="677" spans="2:16" ht="15" customHeight="1" thickBot="1">
      <c r="B677" s="715"/>
      <c r="C677" s="310" t="s">
        <v>6</v>
      </c>
      <c r="D677" s="311">
        <f t="shared" ref="D677:P677" si="200">SUM(D673:D676)</f>
        <v>8184</v>
      </c>
      <c r="E677" s="311">
        <f t="shared" si="200"/>
        <v>8073</v>
      </c>
      <c r="F677" s="311">
        <f t="shared" si="200"/>
        <v>8382</v>
      </c>
      <c r="G677" s="311">
        <f t="shared" si="200"/>
        <v>7013</v>
      </c>
      <c r="H677" s="311">
        <f t="shared" si="200"/>
        <v>7854</v>
      </c>
      <c r="I677" s="311">
        <f t="shared" si="200"/>
        <v>7196</v>
      </c>
      <c r="J677" s="311">
        <f t="shared" si="200"/>
        <v>6786</v>
      </c>
      <c r="K677" s="311">
        <f t="shared" si="200"/>
        <v>8255</v>
      </c>
      <c r="L677" s="311">
        <f t="shared" si="200"/>
        <v>7228</v>
      </c>
      <c r="M677" s="311">
        <f t="shared" si="200"/>
        <v>8707</v>
      </c>
      <c r="N677" s="311">
        <f t="shared" si="200"/>
        <v>9374</v>
      </c>
      <c r="O677" s="311">
        <f t="shared" si="200"/>
        <v>9823</v>
      </c>
      <c r="P677" s="312">
        <f t="shared" si="200"/>
        <v>96875</v>
      </c>
    </row>
    <row r="678" spans="2:16" ht="15" customHeight="1">
      <c r="B678" s="716" t="s">
        <v>36</v>
      </c>
      <c r="C678" s="47" t="s">
        <v>38</v>
      </c>
      <c r="D678" s="48">
        <v>196</v>
      </c>
      <c r="E678" s="49">
        <v>173</v>
      </c>
      <c r="F678" s="49">
        <v>223</v>
      </c>
      <c r="G678" s="49">
        <v>233</v>
      </c>
      <c r="H678" s="49">
        <v>208</v>
      </c>
      <c r="I678" s="49">
        <v>180</v>
      </c>
      <c r="J678" s="49">
        <v>150</v>
      </c>
      <c r="K678" s="49">
        <v>42</v>
      </c>
      <c r="L678" s="49">
        <v>98</v>
      </c>
      <c r="M678" s="49">
        <v>155</v>
      </c>
      <c r="N678" s="49">
        <v>155</v>
      </c>
      <c r="O678" s="49">
        <v>137</v>
      </c>
      <c r="P678" s="50">
        <f>SUM(D678:O678)</f>
        <v>1950</v>
      </c>
    </row>
    <row r="679" spans="2:16" ht="15" customHeight="1">
      <c r="B679" s="717"/>
      <c r="C679" s="22" t="s">
        <v>37</v>
      </c>
      <c r="D679" s="23">
        <v>3797</v>
      </c>
      <c r="E679" s="24">
        <v>2855</v>
      </c>
      <c r="F679" s="24">
        <v>4059</v>
      </c>
      <c r="G679" s="24">
        <v>4248</v>
      </c>
      <c r="H679" s="24">
        <v>3962</v>
      </c>
      <c r="I679" s="24">
        <v>3868</v>
      </c>
      <c r="J679" s="24">
        <f>2250+592</f>
        <v>2842</v>
      </c>
      <c r="K679" s="24">
        <v>3957</v>
      </c>
      <c r="L679" s="24">
        <v>3458</v>
      </c>
      <c r="M679" s="24">
        <v>4610</v>
      </c>
      <c r="N679" s="24">
        <v>4651</v>
      </c>
      <c r="O679" s="24">
        <f>2839+357+117</f>
        <v>3313</v>
      </c>
      <c r="P679" s="25">
        <f>SUM(D679:O679)</f>
        <v>45620</v>
      </c>
    </row>
    <row r="680" spans="2:16" ht="15" customHeight="1">
      <c r="B680" s="717"/>
      <c r="C680" s="22" t="s">
        <v>39</v>
      </c>
      <c r="D680" s="23">
        <v>0</v>
      </c>
      <c r="E680" s="24">
        <v>14</v>
      </c>
      <c r="F680" s="24">
        <v>3</v>
      </c>
      <c r="G680" s="24">
        <v>0</v>
      </c>
      <c r="H680" s="24">
        <v>4</v>
      </c>
      <c r="I680" s="24">
        <v>74</v>
      </c>
      <c r="J680" s="24">
        <v>869</v>
      </c>
      <c r="K680" s="24">
        <v>165</v>
      </c>
      <c r="L680" s="24">
        <v>187</v>
      </c>
      <c r="M680" s="24">
        <v>200</v>
      </c>
      <c r="N680" s="24">
        <v>238</v>
      </c>
      <c r="O680" s="24">
        <v>279</v>
      </c>
      <c r="P680" s="25">
        <f>SUM(D680:O680)</f>
        <v>2033</v>
      </c>
    </row>
    <row r="681" spans="2:16" ht="15" customHeight="1" thickBot="1">
      <c r="B681" s="718"/>
      <c r="C681" s="313" t="s">
        <v>6</v>
      </c>
      <c r="D681" s="314">
        <f t="shared" ref="D681:P681" si="201">SUM(D678:D680)</f>
        <v>3993</v>
      </c>
      <c r="E681" s="314">
        <f t="shared" si="201"/>
        <v>3042</v>
      </c>
      <c r="F681" s="314">
        <f t="shared" si="201"/>
        <v>4285</v>
      </c>
      <c r="G681" s="314">
        <f t="shared" si="201"/>
        <v>4481</v>
      </c>
      <c r="H681" s="314">
        <f t="shared" si="201"/>
        <v>4174</v>
      </c>
      <c r="I681" s="314">
        <f t="shared" si="201"/>
        <v>4122</v>
      </c>
      <c r="J681" s="314">
        <f t="shared" si="201"/>
        <v>3861</v>
      </c>
      <c r="K681" s="314">
        <f t="shared" si="201"/>
        <v>4164</v>
      </c>
      <c r="L681" s="314">
        <f t="shared" si="201"/>
        <v>3743</v>
      </c>
      <c r="M681" s="314">
        <f t="shared" si="201"/>
        <v>4965</v>
      </c>
      <c r="N681" s="314">
        <f t="shared" si="201"/>
        <v>5044</v>
      </c>
      <c r="O681" s="314">
        <f t="shared" si="201"/>
        <v>3729</v>
      </c>
      <c r="P681" s="315">
        <f t="shared" si="201"/>
        <v>49603</v>
      </c>
    </row>
    <row r="682" spans="2:16" ht="15" customHeight="1" thickBot="1">
      <c r="B682" s="704" t="s">
        <v>40</v>
      </c>
      <c r="C682" s="705"/>
      <c r="D682" s="54">
        <f t="shared" ref="D682:P682" si="202">D672+D677+D681</f>
        <v>23010</v>
      </c>
      <c r="E682" s="54">
        <f t="shared" si="202"/>
        <v>21411</v>
      </c>
      <c r="F682" s="54">
        <f t="shared" si="202"/>
        <v>23004</v>
      </c>
      <c r="G682" s="54">
        <f t="shared" si="202"/>
        <v>21202</v>
      </c>
      <c r="H682" s="54">
        <f t="shared" si="202"/>
        <v>23008</v>
      </c>
      <c r="I682" s="54">
        <f t="shared" si="202"/>
        <v>22010</v>
      </c>
      <c r="J682" s="54">
        <f t="shared" si="202"/>
        <v>20010</v>
      </c>
      <c r="K682" s="54">
        <f t="shared" si="202"/>
        <v>23006</v>
      </c>
      <c r="L682" s="54">
        <f t="shared" si="202"/>
        <v>20356</v>
      </c>
      <c r="M682" s="54">
        <f t="shared" si="202"/>
        <v>25104</v>
      </c>
      <c r="N682" s="54">
        <f t="shared" si="202"/>
        <v>25202</v>
      </c>
      <c r="O682" s="54">
        <f t="shared" si="202"/>
        <v>25007</v>
      </c>
      <c r="P682" s="55">
        <f t="shared" si="202"/>
        <v>272330</v>
      </c>
    </row>
    <row r="683" spans="2:16" ht="15" customHeight="1"/>
    <row r="684" spans="2:16" ht="15" customHeight="1"/>
    <row r="685" spans="2:16" ht="15" customHeight="1" thickBot="1">
      <c r="B685" s="316" t="s">
        <v>196</v>
      </c>
      <c r="C685" s="316"/>
    </row>
    <row r="686" spans="2:16" ht="15" customHeight="1" thickBot="1">
      <c r="B686" s="719" t="s">
        <v>19</v>
      </c>
      <c r="C686" s="720"/>
      <c r="D686" s="317" t="s">
        <v>180</v>
      </c>
      <c r="E686" s="318" t="s">
        <v>181</v>
      </c>
      <c r="F686" s="318" t="s">
        <v>182</v>
      </c>
      <c r="G686" s="318" t="s">
        <v>183</v>
      </c>
      <c r="H686" s="318" t="s">
        <v>184</v>
      </c>
      <c r="I686" s="318" t="s">
        <v>185</v>
      </c>
      <c r="J686" s="318" t="s">
        <v>186</v>
      </c>
      <c r="K686" s="318" t="s">
        <v>187</v>
      </c>
      <c r="L686" s="318" t="s">
        <v>188</v>
      </c>
      <c r="M686" s="318" t="s">
        <v>189</v>
      </c>
      <c r="N686" s="318" t="s">
        <v>190</v>
      </c>
      <c r="O686" s="318" t="s">
        <v>191</v>
      </c>
      <c r="P686" s="319" t="s">
        <v>6</v>
      </c>
    </row>
    <row r="687" spans="2:16" ht="15" customHeight="1">
      <c r="B687" s="716" t="s">
        <v>20</v>
      </c>
      <c r="C687" s="47" t="s">
        <v>22</v>
      </c>
      <c r="D687" s="48">
        <v>1575</v>
      </c>
      <c r="E687" s="49">
        <v>1733</v>
      </c>
      <c r="F687" s="49">
        <v>1986</v>
      </c>
      <c r="G687" s="49">
        <v>1806</v>
      </c>
      <c r="H687" s="49">
        <v>1845</v>
      </c>
      <c r="I687" s="49">
        <v>1714</v>
      </c>
      <c r="J687" s="49">
        <v>1008</v>
      </c>
      <c r="K687" s="49">
        <v>1371</v>
      </c>
      <c r="L687" s="49">
        <v>1947</v>
      </c>
      <c r="M687" s="49">
        <v>1716</v>
      </c>
      <c r="N687" s="49">
        <v>1840</v>
      </c>
      <c r="O687" s="49">
        <v>1805</v>
      </c>
      <c r="P687" s="50">
        <f t="shared" ref="P687:P692" si="203">SUM(D687:O687)</f>
        <v>20346</v>
      </c>
    </row>
    <row r="688" spans="2:16" ht="15" customHeight="1">
      <c r="B688" s="717"/>
      <c r="C688" s="30" t="s">
        <v>23</v>
      </c>
      <c r="D688" s="31">
        <v>1777</v>
      </c>
      <c r="E688" s="32">
        <v>2274</v>
      </c>
      <c r="F688" s="32">
        <v>2521</v>
      </c>
      <c r="G688" s="32">
        <v>2292</v>
      </c>
      <c r="H688" s="32">
        <v>1574</v>
      </c>
      <c r="I688" s="32">
        <v>1593</v>
      </c>
      <c r="J688" s="32">
        <v>1572</v>
      </c>
      <c r="K688" s="32">
        <v>871</v>
      </c>
      <c r="L688" s="32">
        <v>2377</v>
      </c>
      <c r="M688" s="32">
        <v>2151</v>
      </c>
      <c r="N688" s="32">
        <v>2053</v>
      </c>
      <c r="O688" s="32">
        <v>1990</v>
      </c>
      <c r="P688" s="33">
        <f t="shared" si="203"/>
        <v>23045</v>
      </c>
    </row>
    <row r="689" spans="2:16" ht="15" customHeight="1">
      <c r="B689" s="717"/>
      <c r="C689" s="30" t="s">
        <v>166</v>
      </c>
      <c r="D689" s="31">
        <v>1454</v>
      </c>
      <c r="E689" s="32">
        <v>2052</v>
      </c>
      <c r="F689" s="32">
        <v>2135</v>
      </c>
      <c r="G689" s="32">
        <v>1992</v>
      </c>
      <c r="H689" s="32">
        <v>1700</v>
      </c>
      <c r="I689" s="32">
        <v>1559</v>
      </c>
      <c r="J689" s="32">
        <v>1514</v>
      </c>
      <c r="K689" s="32">
        <v>1518</v>
      </c>
      <c r="L689" s="32">
        <v>2027</v>
      </c>
      <c r="M689" s="32">
        <v>1688</v>
      </c>
      <c r="N689" s="32">
        <v>1757</v>
      </c>
      <c r="O689" s="32">
        <v>2073</v>
      </c>
      <c r="P689" s="33">
        <f t="shared" si="203"/>
        <v>21469</v>
      </c>
    </row>
    <row r="690" spans="2:16" ht="15" customHeight="1">
      <c r="B690" s="717"/>
      <c r="C690" s="30" t="s">
        <v>197</v>
      </c>
      <c r="D690" s="31">
        <v>1</v>
      </c>
      <c r="E690" s="32">
        <v>0</v>
      </c>
      <c r="F690" s="32">
        <v>1</v>
      </c>
      <c r="G690" s="32">
        <v>0</v>
      </c>
      <c r="H690" s="32">
        <v>0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3">
        <f t="shared" si="203"/>
        <v>2</v>
      </c>
    </row>
    <row r="691" spans="2:16" ht="15" customHeight="1">
      <c r="B691" s="717"/>
      <c r="C691" s="30" t="s">
        <v>25</v>
      </c>
      <c r="D691" s="31">
        <v>2799</v>
      </c>
      <c r="E691" s="32">
        <v>3183</v>
      </c>
      <c r="F691" s="32">
        <v>3732</v>
      </c>
      <c r="G691" s="32">
        <v>3495</v>
      </c>
      <c r="H691" s="32">
        <v>2980</v>
      </c>
      <c r="I691" s="32">
        <v>2261</v>
      </c>
      <c r="J691" s="32">
        <v>2886</v>
      </c>
      <c r="K691" s="32">
        <v>1836</v>
      </c>
      <c r="L691" s="32">
        <v>3095</v>
      </c>
      <c r="M691" s="32">
        <v>3152</v>
      </c>
      <c r="N691" s="32">
        <v>2597</v>
      </c>
      <c r="O691" s="32">
        <v>2686</v>
      </c>
      <c r="P691" s="33">
        <f t="shared" si="203"/>
        <v>34702</v>
      </c>
    </row>
    <row r="692" spans="2:16" ht="15" customHeight="1">
      <c r="B692" s="717"/>
      <c r="C692" s="30" t="s">
        <v>192</v>
      </c>
      <c r="D692" s="31">
        <v>537</v>
      </c>
      <c r="E692" s="32">
        <v>558</v>
      </c>
      <c r="F692" s="32">
        <v>474</v>
      </c>
      <c r="G692" s="32">
        <v>653</v>
      </c>
      <c r="H692" s="32">
        <v>506</v>
      </c>
      <c r="I692" s="32">
        <v>1798</v>
      </c>
      <c r="J692" s="32">
        <v>3001</v>
      </c>
      <c r="K692" s="32">
        <v>1454</v>
      </c>
      <c r="L692" s="32">
        <v>3004</v>
      </c>
      <c r="M692" s="32">
        <v>1763</v>
      </c>
      <c r="N692" s="32">
        <v>2213</v>
      </c>
      <c r="O692" s="32">
        <v>2874</v>
      </c>
      <c r="P692" s="33">
        <f t="shared" si="203"/>
        <v>18835</v>
      </c>
    </row>
    <row r="693" spans="2:16" ht="15" customHeight="1">
      <c r="B693" s="713"/>
      <c r="C693" s="310" t="s">
        <v>6</v>
      </c>
      <c r="D693" s="311">
        <f t="shared" ref="D693:P693" si="204">SUM(D687:D692)</f>
        <v>8143</v>
      </c>
      <c r="E693" s="311">
        <f t="shared" si="204"/>
        <v>9800</v>
      </c>
      <c r="F693" s="311">
        <f t="shared" si="204"/>
        <v>10849</v>
      </c>
      <c r="G693" s="311">
        <f t="shared" si="204"/>
        <v>10238</v>
      </c>
      <c r="H693" s="311">
        <f t="shared" si="204"/>
        <v>8605</v>
      </c>
      <c r="I693" s="311">
        <f t="shared" si="204"/>
        <v>8925</v>
      </c>
      <c r="J693" s="311">
        <f t="shared" si="204"/>
        <v>9981</v>
      </c>
      <c r="K693" s="311">
        <f t="shared" si="204"/>
        <v>7050</v>
      </c>
      <c r="L693" s="311">
        <f t="shared" si="204"/>
        <v>12450</v>
      </c>
      <c r="M693" s="311">
        <f t="shared" si="204"/>
        <v>10470</v>
      </c>
      <c r="N693" s="311">
        <f t="shared" si="204"/>
        <v>10460</v>
      </c>
      <c r="O693" s="311">
        <f t="shared" si="204"/>
        <v>11428</v>
      </c>
      <c r="P693" s="312">
        <f t="shared" si="204"/>
        <v>118399</v>
      </c>
    </row>
    <row r="694" spans="2:16" ht="15" customHeight="1">
      <c r="B694" s="714" t="s">
        <v>12</v>
      </c>
      <c r="C694" s="22" t="s">
        <v>198</v>
      </c>
      <c r="D694" s="23">
        <v>599</v>
      </c>
      <c r="E694" s="24">
        <v>502</v>
      </c>
      <c r="F694" s="24">
        <v>767</v>
      </c>
      <c r="G694" s="24">
        <v>37</v>
      </c>
      <c r="H694" s="24">
        <v>1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5">
        <f t="shared" ref="P694:P700" si="205">SUM(D694:O694)</f>
        <v>1906</v>
      </c>
    </row>
    <row r="695" spans="2:16" ht="15" customHeight="1">
      <c r="B695" s="714"/>
      <c r="C695" s="30" t="s">
        <v>199</v>
      </c>
      <c r="D695" s="31">
        <v>0</v>
      </c>
      <c r="E695" s="32">
        <v>0</v>
      </c>
      <c r="F695" s="32">
        <v>0</v>
      </c>
      <c r="G695" s="32">
        <v>0</v>
      </c>
      <c r="H695" s="32">
        <v>3979</v>
      </c>
      <c r="I695" s="32">
        <v>3772</v>
      </c>
      <c r="J695" s="32">
        <v>2556</v>
      </c>
      <c r="K695" s="32">
        <v>2153</v>
      </c>
      <c r="L695" s="32">
        <v>3265</v>
      </c>
      <c r="M695" s="32">
        <v>2523</v>
      </c>
      <c r="N695" s="32">
        <v>2303</v>
      </c>
      <c r="O695" s="32">
        <v>2890</v>
      </c>
      <c r="P695" s="33">
        <f t="shared" si="205"/>
        <v>23441</v>
      </c>
    </row>
    <row r="696" spans="2:16" ht="15" customHeight="1">
      <c r="B696" s="714"/>
      <c r="C696" s="30" t="s">
        <v>200</v>
      </c>
      <c r="D696" s="31">
        <v>14</v>
      </c>
      <c r="E696" s="32">
        <v>1</v>
      </c>
      <c r="F696" s="32">
        <v>0</v>
      </c>
      <c r="G696" s="32">
        <v>0</v>
      </c>
      <c r="H696" s="32">
        <v>0</v>
      </c>
      <c r="I696" s="32">
        <v>0</v>
      </c>
      <c r="J696" s="32">
        <v>0</v>
      </c>
      <c r="K696" s="32">
        <v>0</v>
      </c>
      <c r="L696" s="32">
        <v>0</v>
      </c>
      <c r="M696" s="32">
        <v>0</v>
      </c>
      <c r="N696" s="32">
        <v>0</v>
      </c>
      <c r="O696" s="32">
        <v>0</v>
      </c>
      <c r="P696" s="33">
        <f t="shared" si="205"/>
        <v>15</v>
      </c>
    </row>
    <row r="697" spans="2:16" ht="15" customHeight="1">
      <c r="B697" s="714"/>
      <c r="C697" s="30" t="s">
        <v>201</v>
      </c>
      <c r="D697" s="31">
        <v>21</v>
      </c>
      <c r="E697" s="32">
        <v>1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2">
        <v>0</v>
      </c>
      <c r="L697" s="32">
        <v>0</v>
      </c>
      <c r="M697" s="32">
        <v>0</v>
      </c>
      <c r="N697" s="32">
        <v>0</v>
      </c>
      <c r="O697" s="32">
        <v>0</v>
      </c>
      <c r="P697" s="33">
        <f t="shared" si="205"/>
        <v>22</v>
      </c>
    </row>
    <row r="698" spans="2:16" ht="15" customHeight="1">
      <c r="B698" s="714"/>
      <c r="C698" s="30" t="s">
        <v>202</v>
      </c>
      <c r="D698" s="31">
        <v>982</v>
      </c>
      <c r="E698" s="32">
        <v>1942</v>
      </c>
      <c r="F698" s="32">
        <v>2157</v>
      </c>
      <c r="G698" s="32">
        <v>1841</v>
      </c>
      <c r="H698" s="32">
        <v>1448</v>
      </c>
      <c r="I698" s="32">
        <v>1243</v>
      </c>
      <c r="J698" s="32">
        <v>1562</v>
      </c>
      <c r="K698" s="32">
        <v>1150</v>
      </c>
      <c r="L698" s="32">
        <v>1764</v>
      </c>
      <c r="M698" s="32">
        <v>1397</v>
      </c>
      <c r="N698" s="32">
        <v>2001</v>
      </c>
      <c r="O698" s="32">
        <v>2223</v>
      </c>
      <c r="P698" s="33">
        <f t="shared" si="205"/>
        <v>19710</v>
      </c>
    </row>
    <row r="699" spans="2:16" ht="15" customHeight="1">
      <c r="B699" s="714"/>
      <c r="C699" s="30" t="s">
        <v>195</v>
      </c>
      <c r="D699" s="31">
        <v>3231</v>
      </c>
      <c r="E699" s="32">
        <v>3113</v>
      </c>
      <c r="F699" s="32">
        <v>3100</v>
      </c>
      <c r="G699" s="32">
        <v>3071</v>
      </c>
      <c r="H699" s="32">
        <v>2612</v>
      </c>
      <c r="I699" s="32">
        <v>3923</v>
      </c>
      <c r="J699" s="32">
        <v>2386</v>
      </c>
      <c r="K699" s="32">
        <v>1318</v>
      </c>
      <c r="L699" s="32">
        <v>1977</v>
      </c>
      <c r="M699" s="32">
        <v>2315</v>
      </c>
      <c r="N699" s="32">
        <v>3705</v>
      </c>
      <c r="O699" s="32">
        <v>5116</v>
      </c>
      <c r="P699" s="33">
        <f t="shared" si="205"/>
        <v>35867</v>
      </c>
    </row>
    <row r="700" spans="2:16" ht="15" customHeight="1">
      <c r="B700" s="714"/>
      <c r="C700" s="30" t="s">
        <v>151</v>
      </c>
      <c r="D700" s="31">
        <v>1757</v>
      </c>
      <c r="E700" s="32">
        <v>1973</v>
      </c>
      <c r="F700" s="32">
        <v>1732</v>
      </c>
      <c r="G700" s="32">
        <v>2058</v>
      </c>
      <c r="H700" s="32">
        <v>1448</v>
      </c>
      <c r="I700" s="32">
        <v>1234</v>
      </c>
      <c r="J700" s="32">
        <v>1234</v>
      </c>
      <c r="K700" s="32">
        <v>712</v>
      </c>
      <c r="L700" s="32">
        <v>3033</v>
      </c>
      <c r="M700" s="32">
        <v>2193</v>
      </c>
      <c r="N700" s="32">
        <v>2404</v>
      </c>
      <c r="O700" s="32">
        <v>1811</v>
      </c>
      <c r="P700" s="33">
        <f t="shared" si="205"/>
        <v>21589</v>
      </c>
    </row>
    <row r="701" spans="2:16" ht="15" customHeight="1" thickBot="1">
      <c r="B701" s="714"/>
      <c r="C701" s="310" t="s">
        <v>6</v>
      </c>
      <c r="D701" s="311">
        <f t="shared" ref="D701:P701" si="206">SUM(D694:D700)</f>
        <v>6604</v>
      </c>
      <c r="E701" s="311">
        <f t="shared" si="206"/>
        <v>7532</v>
      </c>
      <c r="F701" s="311">
        <f t="shared" si="206"/>
        <v>7756</v>
      </c>
      <c r="G701" s="311">
        <f t="shared" si="206"/>
        <v>7007</v>
      </c>
      <c r="H701" s="311">
        <f t="shared" si="206"/>
        <v>9488</v>
      </c>
      <c r="I701" s="311">
        <f t="shared" si="206"/>
        <v>10172</v>
      </c>
      <c r="J701" s="311">
        <f t="shared" si="206"/>
        <v>7738</v>
      </c>
      <c r="K701" s="311">
        <f t="shared" si="206"/>
        <v>5333</v>
      </c>
      <c r="L701" s="311">
        <f t="shared" si="206"/>
        <v>10039</v>
      </c>
      <c r="M701" s="311">
        <f t="shared" si="206"/>
        <v>8428</v>
      </c>
      <c r="N701" s="311">
        <f t="shared" si="206"/>
        <v>10413</v>
      </c>
      <c r="O701" s="311">
        <f t="shared" si="206"/>
        <v>12040</v>
      </c>
      <c r="P701" s="312">
        <f t="shared" si="206"/>
        <v>102550</v>
      </c>
    </row>
    <row r="702" spans="2:16" ht="15" customHeight="1">
      <c r="B702" s="716" t="s">
        <v>36</v>
      </c>
      <c r="C702" s="47" t="s">
        <v>38</v>
      </c>
      <c r="D702" s="48">
        <v>130</v>
      </c>
      <c r="E702" s="49">
        <v>147</v>
      </c>
      <c r="F702" s="49">
        <v>203</v>
      </c>
      <c r="G702" s="49">
        <v>210</v>
      </c>
      <c r="H702" s="49">
        <v>210</v>
      </c>
      <c r="I702" s="49">
        <v>210</v>
      </c>
      <c r="J702" s="49">
        <v>170</v>
      </c>
      <c r="K702" s="49">
        <v>95</v>
      </c>
      <c r="L702" s="49">
        <v>35</v>
      </c>
      <c r="M702" s="49">
        <v>162</v>
      </c>
      <c r="N702" s="49">
        <v>203</v>
      </c>
      <c r="O702" s="49">
        <v>209</v>
      </c>
      <c r="P702" s="50">
        <f>SUM(D702:O702)</f>
        <v>1984</v>
      </c>
    </row>
    <row r="703" spans="2:16" ht="15" customHeight="1">
      <c r="B703" s="717"/>
      <c r="C703" s="22" t="s">
        <v>37</v>
      </c>
      <c r="D703" s="23">
        <v>2649</v>
      </c>
      <c r="E703" s="24">
        <v>4024</v>
      </c>
      <c r="F703" s="24">
        <v>4564</v>
      </c>
      <c r="G703" s="24">
        <v>4077</v>
      </c>
      <c r="H703" s="24">
        <v>3945</v>
      </c>
      <c r="I703" s="24">
        <v>4012</v>
      </c>
      <c r="J703" s="24">
        <v>2987</v>
      </c>
      <c r="K703" s="24">
        <v>2517</v>
      </c>
      <c r="L703" s="24">
        <v>4225</v>
      </c>
      <c r="M703" s="24">
        <v>3871</v>
      </c>
      <c r="N703" s="24">
        <v>4594</v>
      </c>
      <c r="O703" s="24">
        <v>3856</v>
      </c>
      <c r="P703" s="25">
        <f>SUM(D703:O703)</f>
        <v>45321</v>
      </c>
    </row>
    <row r="704" spans="2:16" ht="15" customHeight="1">
      <c r="B704" s="717"/>
      <c r="C704" s="22" t="s">
        <v>39</v>
      </c>
      <c r="D704" s="23">
        <v>0</v>
      </c>
      <c r="E704" s="24">
        <v>0</v>
      </c>
      <c r="F704" s="24">
        <v>3</v>
      </c>
      <c r="G704" s="24">
        <v>0</v>
      </c>
      <c r="H704" s="24">
        <v>7</v>
      </c>
      <c r="I704" s="24">
        <v>696</v>
      </c>
      <c r="J704" s="24">
        <v>206</v>
      </c>
      <c r="K704" s="24">
        <v>207</v>
      </c>
      <c r="L704" s="24">
        <v>262</v>
      </c>
      <c r="M704" s="24">
        <v>307</v>
      </c>
      <c r="N704" s="24">
        <v>333</v>
      </c>
      <c r="O704" s="24">
        <v>322</v>
      </c>
      <c r="P704" s="25">
        <f>SUM(D704:O704)</f>
        <v>2343</v>
      </c>
    </row>
    <row r="705" spans="2:16" ht="15" customHeight="1" thickBot="1">
      <c r="B705" s="718"/>
      <c r="C705" s="320" t="s">
        <v>6</v>
      </c>
      <c r="D705" s="321">
        <f t="shared" ref="D705:P705" si="207">SUM(D702:D704)</f>
        <v>2779</v>
      </c>
      <c r="E705" s="321">
        <f t="shared" si="207"/>
        <v>4171</v>
      </c>
      <c r="F705" s="321">
        <f t="shared" si="207"/>
        <v>4770</v>
      </c>
      <c r="G705" s="321">
        <f t="shared" si="207"/>
        <v>4287</v>
      </c>
      <c r="H705" s="321">
        <f t="shared" si="207"/>
        <v>4162</v>
      </c>
      <c r="I705" s="321">
        <f t="shared" si="207"/>
        <v>4918</v>
      </c>
      <c r="J705" s="321">
        <f t="shared" si="207"/>
        <v>3363</v>
      </c>
      <c r="K705" s="321">
        <f t="shared" si="207"/>
        <v>2819</v>
      </c>
      <c r="L705" s="321">
        <f t="shared" si="207"/>
        <v>4522</v>
      </c>
      <c r="M705" s="321">
        <f t="shared" si="207"/>
        <v>4340</v>
      </c>
      <c r="N705" s="321">
        <f t="shared" si="207"/>
        <v>5130</v>
      </c>
      <c r="O705" s="321">
        <f t="shared" si="207"/>
        <v>4387</v>
      </c>
      <c r="P705" s="322">
        <f t="shared" si="207"/>
        <v>49648</v>
      </c>
    </row>
    <row r="706" spans="2:16" ht="15" customHeight="1" thickBot="1">
      <c r="B706" s="704" t="s">
        <v>40</v>
      </c>
      <c r="C706" s="705"/>
      <c r="D706" s="54">
        <f t="shared" ref="D706:P706" si="208">D693+D701+D705</f>
        <v>17526</v>
      </c>
      <c r="E706" s="54">
        <f t="shared" si="208"/>
        <v>21503</v>
      </c>
      <c r="F706" s="54">
        <f t="shared" si="208"/>
        <v>23375</v>
      </c>
      <c r="G706" s="54">
        <f t="shared" si="208"/>
        <v>21532</v>
      </c>
      <c r="H706" s="54">
        <f t="shared" si="208"/>
        <v>22255</v>
      </c>
      <c r="I706" s="54">
        <f t="shared" si="208"/>
        <v>24015</v>
      </c>
      <c r="J706" s="54">
        <f t="shared" si="208"/>
        <v>21082</v>
      </c>
      <c r="K706" s="54">
        <f t="shared" si="208"/>
        <v>15202</v>
      </c>
      <c r="L706" s="54">
        <f t="shared" si="208"/>
        <v>27011</v>
      </c>
      <c r="M706" s="54">
        <f t="shared" si="208"/>
        <v>23238</v>
      </c>
      <c r="N706" s="54">
        <f t="shared" si="208"/>
        <v>26003</v>
      </c>
      <c r="O706" s="54">
        <f t="shared" si="208"/>
        <v>27855</v>
      </c>
      <c r="P706" s="55">
        <f t="shared" si="208"/>
        <v>270597</v>
      </c>
    </row>
    <row r="707" spans="2:16" ht="15" customHeight="1"/>
    <row r="708" spans="2:16" ht="15" customHeight="1"/>
    <row r="709" spans="2:16" ht="15" customHeight="1" thickBot="1">
      <c r="B709" s="18" t="s">
        <v>218</v>
      </c>
    </row>
    <row r="710" spans="2:16" ht="15" customHeight="1" thickTop="1" thickBot="1">
      <c r="B710" s="706" t="s">
        <v>168</v>
      </c>
      <c r="C710" s="707"/>
      <c r="D710" s="323" t="s">
        <v>180</v>
      </c>
      <c r="E710" s="323" t="s">
        <v>181</v>
      </c>
      <c r="F710" s="323" t="s">
        <v>182</v>
      </c>
      <c r="G710" s="323" t="s">
        <v>183</v>
      </c>
      <c r="H710" s="323" t="s">
        <v>184</v>
      </c>
      <c r="I710" s="323" t="s">
        <v>203</v>
      </c>
      <c r="J710" s="323" t="s">
        <v>186</v>
      </c>
      <c r="K710" s="323" t="s">
        <v>187</v>
      </c>
      <c r="L710" s="323" t="s">
        <v>188</v>
      </c>
      <c r="M710" s="323" t="s">
        <v>189</v>
      </c>
      <c r="N710" s="323" t="s">
        <v>190</v>
      </c>
      <c r="O710" s="323" t="s">
        <v>191</v>
      </c>
      <c r="P710" s="324" t="s">
        <v>169</v>
      </c>
    </row>
    <row r="711" spans="2:16" ht="15" customHeight="1" thickTop="1" thickBot="1">
      <c r="B711" s="325" t="s">
        <v>204</v>
      </c>
      <c r="C711" s="328" t="s">
        <v>170</v>
      </c>
      <c r="D711" s="329">
        <v>1727</v>
      </c>
      <c r="E711" s="329">
        <v>1426</v>
      </c>
      <c r="F711" s="329">
        <v>1991</v>
      </c>
      <c r="G711" s="329">
        <v>1683</v>
      </c>
      <c r="H711" s="329">
        <v>1129</v>
      </c>
      <c r="I711" s="329">
        <v>1052</v>
      </c>
      <c r="J711" s="329">
        <v>1027</v>
      </c>
      <c r="K711" s="329">
        <v>1152</v>
      </c>
      <c r="L711" s="329">
        <v>1041</v>
      </c>
      <c r="M711" s="329">
        <v>1289</v>
      </c>
      <c r="N711" s="329">
        <v>1204</v>
      </c>
      <c r="O711" s="329">
        <v>1683</v>
      </c>
      <c r="P711" s="330">
        <v>16404</v>
      </c>
    </row>
    <row r="712" spans="2:16" ht="15" customHeight="1" thickBot="1">
      <c r="B712" s="325" t="s">
        <v>205</v>
      </c>
      <c r="C712" s="328" t="s">
        <v>206</v>
      </c>
      <c r="D712" s="331">
        <v>43</v>
      </c>
      <c r="E712" s="331">
        <v>66</v>
      </c>
      <c r="F712" s="331">
        <v>76</v>
      </c>
      <c r="G712" s="331">
        <v>16</v>
      </c>
      <c r="H712" s="331">
        <v>33</v>
      </c>
      <c r="I712" s="331" t="s">
        <v>207</v>
      </c>
      <c r="J712" s="331" t="s">
        <v>207</v>
      </c>
      <c r="K712" s="331" t="s">
        <v>207</v>
      </c>
      <c r="L712" s="331" t="s">
        <v>207</v>
      </c>
      <c r="M712" s="331" t="s">
        <v>207</v>
      </c>
      <c r="N712" s="331" t="s">
        <v>207</v>
      </c>
      <c r="O712" s="331" t="s">
        <v>207</v>
      </c>
      <c r="P712" s="332">
        <v>234</v>
      </c>
    </row>
    <row r="713" spans="2:16" ht="15" customHeight="1" thickBot="1">
      <c r="B713" s="326"/>
      <c r="C713" s="328" t="s">
        <v>171</v>
      </c>
      <c r="D713" s="331" t="s">
        <v>207</v>
      </c>
      <c r="E713" s="331" t="s">
        <v>207</v>
      </c>
      <c r="F713" s="331" t="s">
        <v>207</v>
      </c>
      <c r="G713" s="329">
        <v>1270</v>
      </c>
      <c r="H713" s="329">
        <v>2003</v>
      </c>
      <c r="I713" s="329">
        <v>2002</v>
      </c>
      <c r="J713" s="329">
        <v>2007</v>
      </c>
      <c r="K713" s="329">
        <v>1627</v>
      </c>
      <c r="L713" s="329">
        <v>1457</v>
      </c>
      <c r="M713" s="329">
        <v>1793</v>
      </c>
      <c r="N713" s="329">
        <v>1641</v>
      </c>
      <c r="O713" s="329">
        <v>1629</v>
      </c>
      <c r="P713" s="330">
        <v>15429</v>
      </c>
    </row>
    <row r="714" spans="2:16" ht="15" customHeight="1" thickBot="1">
      <c r="B714" s="326"/>
      <c r="C714" s="328" t="s">
        <v>172</v>
      </c>
      <c r="D714" s="329">
        <v>1711</v>
      </c>
      <c r="E714" s="329">
        <v>1466</v>
      </c>
      <c r="F714" s="329">
        <v>2027</v>
      </c>
      <c r="G714" s="329">
        <v>2291</v>
      </c>
      <c r="H714" s="329">
        <v>1918</v>
      </c>
      <c r="I714" s="329">
        <v>2087</v>
      </c>
      <c r="J714" s="329">
        <v>1987</v>
      </c>
      <c r="K714" s="329">
        <v>1927</v>
      </c>
      <c r="L714" s="329">
        <v>1625</v>
      </c>
      <c r="M714" s="329">
        <v>1945</v>
      </c>
      <c r="N714" s="329">
        <v>1803</v>
      </c>
      <c r="O714" s="329">
        <v>2430</v>
      </c>
      <c r="P714" s="330">
        <v>23217</v>
      </c>
    </row>
    <row r="715" spans="2:16" ht="15" customHeight="1" thickBot="1">
      <c r="B715" s="326"/>
      <c r="C715" s="328" t="s">
        <v>208</v>
      </c>
      <c r="D715" s="329">
        <v>2181</v>
      </c>
      <c r="E715" s="329">
        <v>1865</v>
      </c>
      <c r="F715" s="329">
        <v>2629</v>
      </c>
      <c r="G715" s="329">
        <v>2536</v>
      </c>
      <c r="H715" s="329">
        <v>2424</v>
      </c>
      <c r="I715" s="329">
        <v>2850</v>
      </c>
      <c r="J715" s="329">
        <v>3405</v>
      </c>
      <c r="K715" s="329">
        <v>3199</v>
      </c>
      <c r="L715" s="329">
        <v>2455</v>
      </c>
      <c r="M715" s="331">
        <v>888</v>
      </c>
      <c r="N715" s="331">
        <v>27</v>
      </c>
      <c r="O715" s="331">
        <v>4</v>
      </c>
      <c r="P715" s="330">
        <v>24463</v>
      </c>
    </row>
    <row r="716" spans="2:16" ht="15" customHeight="1" thickBot="1">
      <c r="B716" s="326"/>
      <c r="C716" s="328" t="s">
        <v>173</v>
      </c>
      <c r="D716" s="331" t="s">
        <v>207</v>
      </c>
      <c r="E716" s="331" t="s">
        <v>207</v>
      </c>
      <c r="F716" s="331" t="s">
        <v>207</v>
      </c>
      <c r="G716" s="331" t="s">
        <v>207</v>
      </c>
      <c r="H716" s="331" t="s">
        <v>207</v>
      </c>
      <c r="I716" s="331" t="s">
        <v>207</v>
      </c>
      <c r="J716" s="331" t="s">
        <v>207</v>
      </c>
      <c r="K716" s="331" t="s">
        <v>207</v>
      </c>
      <c r="L716" s="331" t="s">
        <v>207</v>
      </c>
      <c r="M716" s="331" t="s">
        <v>207</v>
      </c>
      <c r="N716" s="329">
        <v>5669</v>
      </c>
      <c r="O716" s="329">
        <v>4525</v>
      </c>
      <c r="P716" s="330">
        <v>10194</v>
      </c>
    </row>
    <row r="717" spans="2:16" ht="15" customHeight="1" thickBot="1">
      <c r="B717" s="326"/>
      <c r="C717" s="328" t="s">
        <v>209</v>
      </c>
      <c r="D717" s="331">
        <v>686</v>
      </c>
      <c r="E717" s="331">
        <v>581</v>
      </c>
      <c r="F717" s="331">
        <v>704</v>
      </c>
      <c r="G717" s="331">
        <v>744</v>
      </c>
      <c r="H717" s="331">
        <v>720</v>
      </c>
      <c r="I717" s="331">
        <v>803</v>
      </c>
      <c r="J717" s="331">
        <v>804</v>
      </c>
      <c r="K717" s="331">
        <v>808</v>
      </c>
      <c r="L717" s="331">
        <v>747</v>
      </c>
      <c r="M717" s="331">
        <v>761</v>
      </c>
      <c r="N717" s="331">
        <v>693</v>
      </c>
      <c r="O717" s="329">
        <v>1274</v>
      </c>
      <c r="P717" s="330">
        <v>9325</v>
      </c>
    </row>
    <row r="718" spans="2:16" ht="15" customHeight="1" thickBot="1">
      <c r="B718" s="326"/>
      <c r="C718" s="328" t="s">
        <v>174</v>
      </c>
      <c r="D718" s="331">
        <v>689</v>
      </c>
      <c r="E718" s="331">
        <v>550</v>
      </c>
      <c r="F718" s="331">
        <v>797</v>
      </c>
      <c r="G718" s="331">
        <v>726</v>
      </c>
      <c r="H718" s="331">
        <v>854</v>
      </c>
      <c r="I718" s="331">
        <v>653</v>
      </c>
      <c r="J718" s="329">
        <v>1381</v>
      </c>
      <c r="K718" s="331">
        <v>964</v>
      </c>
      <c r="L718" s="331">
        <v>659</v>
      </c>
      <c r="M718" s="329">
        <v>1917</v>
      </c>
      <c r="N718" s="329">
        <v>1295</v>
      </c>
      <c r="O718" s="329">
        <v>1101</v>
      </c>
      <c r="P718" s="330">
        <v>11586</v>
      </c>
    </row>
    <row r="719" spans="2:16" ht="15" customHeight="1" thickBot="1">
      <c r="B719" s="326"/>
      <c r="C719" s="328" t="s">
        <v>210</v>
      </c>
      <c r="D719" s="331">
        <v>234</v>
      </c>
      <c r="E719" s="331">
        <v>194</v>
      </c>
      <c r="F719" s="331">
        <v>221</v>
      </c>
      <c r="G719" s="331">
        <v>169</v>
      </c>
      <c r="H719" s="331">
        <v>112</v>
      </c>
      <c r="I719" s="331">
        <v>196</v>
      </c>
      <c r="J719" s="331">
        <v>130</v>
      </c>
      <c r="K719" s="331">
        <v>132</v>
      </c>
      <c r="L719" s="331">
        <v>132</v>
      </c>
      <c r="M719" s="331">
        <v>60</v>
      </c>
      <c r="N719" s="331">
        <v>76</v>
      </c>
      <c r="O719" s="331">
        <v>110</v>
      </c>
      <c r="P719" s="330">
        <v>1766</v>
      </c>
    </row>
    <row r="720" spans="2:16" ht="15" customHeight="1" thickBot="1">
      <c r="B720" s="326"/>
      <c r="C720" s="328" t="s">
        <v>175</v>
      </c>
      <c r="D720" s="331">
        <v>379</v>
      </c>
      <c r="E720" s="331">
        <v>729</v>
      </c>
      <c r="F720" s="331">
        <v>763</v>
      </c>
      <c r="G720" s="331">
        <v>691</v>
      </c>
      <c r="H720" s="331">
        <v>714</v>
      </c>
      <c r="I720" s="331">
        <v>692</v>
      </c>
      <c r="J720" s="331">
        <v>687</v>
      </c>
      <c r="K720" s="331">
        <v>399</v>
      </c>
      <c r="L720" s="331">
        <v>215</v>
      </c>
      <c r="M720" s="331">
        <v>203</v>
      </c>
      <c r="N720" s="331">
        <v>152</v>
      </c>
      <c r="O720" s="331">
        <v>183</v>
      </c>
      <c r="P720" s="330">
        <v>5807</v>
      </c>
    </row>
    <row r="721" spans="2:16" ht="15" customHeight="1" thickBot="1">
      <c r="B721" s="326"/>
      <c r="C721" s="333" t="s">
        <v>211</v>
      </c>
      <c r="D721" s="331" t="s">
        <v>207</v>
      </c>
      <c r="E721" s="331" t="s">
        <v>207</v>
      </c>
      <c r="F721" s="331" t="s">
        <v>207</v>
      </c>
      <c r="G721" s="331" t="s">
        <v>207</v>
      </c>
      <c r="H721" s="331" t="s">
        <v>207</v>
      </c>
      <c r="I721" s="331" t="s">
        <v>207</v>
      </c>
      <c r="J721" s="329">
        <v>1104</v>
      </c>
      <c r="K721" s="329">
        <v>1774</v>
      </c>
      <c r="L721" s="329">
        <v>1292</v>
      </c>
      <c r="M721" s="329">
        <v>1243</v>
      </c>
      <c r="N721" s="329">
        <v>1517</v>
      </c>
      <c r="O721" s="329">
        <v>1696</v>
      </c>
      <c r="P721" s="330">
        <v>8626</v>
      </c>
    </row>
    <row r="722" spans="2:16" ht="15" customHeight="1" thickBot="1">
      <c r="B722" s="326"/>
      <c r="C722" s="328" t="s">
        <v>212</v>
      </c>
      <c r="D722" s="329">
        <v>5736</v>
      </c>
      <c r="E722" s="329">
        <v>5212</v>
      </c>
      <c r="F722" s="329">
        <v>5700</v>
      </c>
      <c r="G722" s="329">
        <v>5682</v>
      </c>
      <c r="H722" s="329">
        <v>4629</v>
      </c>
      <c r="I722" s="329">
        <v>5351</v>
      </c>
      <c r="J722" s="329">
        <v>4914</v>
      </c>
      <c r="K722" s="329">
        <v>3451</v>
      </c>
      <c r="L722" s="329">
        <v>2551</v>
      </c>
      <c r="M722" s="329">
        <v>4765</v>
      </c>
      <c r="N722" s="329">
        <v>4923</v>
      </c>
      <c r="O722" s="329">
        <v>4117</v>
      </c>
      <c r="P722" s="330">
        <v>57031</v>
      </c>
    </row>
    <row r="723" spans="2:16" ht="15" customHeight="1" thickBot="1">
      <c r="B723" s="326"/>
      <c r="C723" s="328" t="s">
        <v>176</v>
      </c>
      <c r="D723" s="329">
        <v>1627</v>
      </c>
      <c r="E723" s="329">
        <v>1373</v>
      </c>
      <c r="F723" s="329">
        <v>1943</v>
      </c>
      <c r="G723" s="329">
        <v>2365</v>
      </c>
      <c r="H723" s="329">
        <v>2339</v>
      </c>
      <c r="I723" s="329">
        <v>2468</v>
      </c>
      <c r="J723" s="329">
        <v>2786</v>
      </c>
      <c r="K723" s="329">
        <v>2827</v>
      </c>
      <c r="L723" s="329">
        <v>2237</v>
      </c>
      <c r="M723" s="329">
        <v>2588</v>
      </c>
      <c r="N723" s="329">
        <v>2473</v>
      </c>
      <c r="O723" s="329">
        <v>4495</v>
      </c>
      <c r="P723" s="330">
        <v>29521</v>
      </c>
    </row>
    <row r="724" spans="2:16" ht="15" customHeight="1" thickBot="1">
      <c r="B724" s="327"/>
      <c r="C724" s="334" t="s">
        <v>169</v>
      </c>
      <c r="D724" s="335">
        <v>15013</v>
      </c>
      <c r="E724" s="335">
        <v>13462</v>
      </c>
      <c r="F724" s="335">
        <v>16851</v>
      </c>
      <c r="G724" s="335">
        <v>18173</v>
      </c>
      <c r="H724" s="335">
        <v>16875</v>
      </c>
      <c r="I724" s="335">
        <v>18154</v>
      </c>
      <c r="J724" s="335">
        <v>20232</v>
      </c>
      <c r="K724" s="335">
        <v>18260</v>
      </c>
      <c r="L724" s="335">
        <v>14411</v>
      </c>
      <c r="M724" s="335">
        <v>17452</v>
      </c>
      <c r="N724" s="335">
        <v>21473</v>
      </c>
      <c r="O724" s="335">
        <v>23247</v>
      </c>
      <c r="P724" s="336">
        <v>213603</v>
      </c>
    </row>
    <row r="725" spans="2:16" ht="15" customHeight="1" thickBot="1">
      <c r="B725" s="325" t="s">
        <v>213</v>
      </c>
      <c r="C725" s="328" t="s">
        <v>214</v>
      </c>
      <c r="D725" s="338">
        <v>1033</v>
      </c>
      <c r="E725" s="339">
        <v>883</v>
      </c>
      <c r="F725" s="338">
        <v>1355</v>
      </c>
      <c r="G725" s="338">
        <v>1083</v>
      </c>
      <c r="H725" s="338">
        <v>1274</v>
      </c>
      <c r="I725" s="339">
        <v>289</v>
      </c>
      <c r="J725" s="339" t="s">
        <v>207</v>
      </c>
      <c r="K725" s="339" t="s">
        <v>207</v>
      </c>
      <c r="L725" s="339" t="s">
        <v>207</v>
      </c>
      <c r="M725" s="339" t="s">
        <v>207</v>
      </c>
      <c r="N725" s="339" t="s">
        <v>207</v>
      </c>
      <c r="O725" s="339" t="s">
        <v>207</v>
      </c>
      <c r="P725" s="340">
        <v>5917</v>
      </c>
    </row>
    <row r="726" spans="2:16" ht="15" customHeight="1" thickBot="1">
      <c r="B726" s="325" t="s">
        <v>205</v>
      </c>
      <c r="C726" s="328" t="s">
        <v>215</v>
      </c>
      <c r="D726" s="329">
        <v>2807</v>
      </c>
      <c r="E726" s="329">
        <v>2526</v>
      </c>
      <c r="F726" s="329">
        <v>3856</v>
      </c>
      <c r="G726" s="329">
        <v>4034</v>
      </c>
      <c r="H726" s="329">
        <v>3756</v>
      </c>
      <c r="I726" s="329">
        <v>3806</v>
      </c>
      <c r="J726" s="329">
        <v>3497</v>
      </c>
      <c r="K726" s="329">
        <v>3445</v>
      </c>
      <c r="L726" s="329">
        <v>3350</v>
      </c>
      <c r="M726" s="329">
        <v>4361</v>
      </c>
      <c r="N726" s="329">
        <v>3987</v>
      </c>
      <c r="O726" s="329">
        <v>3390</v>
      </c>
      <c r="P726" s="330">
        <v>42815</v>
      </c>
    </row>
    <row r="727" spans="2:16" ht="15" customHeight="1" thickBot="1">
      <c r="B727" s="326"/>
      <c r="C727" s="328" t="s">
        <v>216</v>
      </c>
      <c r="D727" s="331">
        <v>153</v>
      </c>
      <c r="E727" s="331">
        <v>143</v>
      </c>
      <c r="F727" s="331">
        <v>212</v>
      </c>
      <c r="G727" s="331">
        <v>207</v>
      </c>
      <c r="H727" s="331">
        <v>195</v>
      </c>
      <c r="I727" s="331">
        <v>214</v>
      </c>
      <c r="J727" s="331">
        <v>116</v>
      </c>
      <c r="K727" s="331">
        <v>162</v>
      </c>
      <c r="L727" s="331">
        <v>75</v>
      </c>
      <c r="M727" s="331">
        <v>100</v>
      </c>
      <c r="N727" s="331">
        <v>140</v>
      </c>
      <c r="O727" s="331">
        <v>160</v>
      </c>
      <c r="P727" s="330">
        <v>1877</v>
      </c>
    </row>
    <row r="728" spans="2:16" ht="15" customHeight="1" thickBot="1">
      <c r="B728" s="337"/>
      <c r="C728" s="334" t="s">
        <v>169</v>
      </c>
      <c r="D728" s="341">
        <v>3993</v>
      </c>
      <c r="E728" s="341">
        <v>3552</v>
      </c>
      <c r="F728" s="341">
        <v>5423</v>
      </c>
      <c r="G728" s="341">
        <v>5324</v>
      </c>
      <c r="H728" s="341">
        <v>5225</v>
      </c>
      <c r="I728" s="341">
        <v>4309</v>
      </c>
      <c r="J728" s="341">
        <v>3613</v>
      </c>
      <c r="K728" s="341">
        <v>3607</v>
      </c>
      <c r="L728" s="341">
        <v>3425</v>
      </c>
      <c r="M728" s="341">
        <v>4461</v>
      </c>
      <c r="N728" s="341">
        <v>4127</v>
      </c>
      <c r="O728" s="341">
        <v>3550</v>
      </c>
      <c r="P728" s="342">
        <v>50609</v>
      </c>
    </row>
    <row r="729" spans="2:16" ht="15" customHeight="1" thickBot="1">
      <c r="B729" s="708" t="s">
        <v>217</v>
      </c>
      <c r="C729" s="709"/>
      <c r="D729" s="343">
        <v>8</v>
      </c>
      <c r="E729" s="343" t="s">
        <v>207</v>
      </c>
      <c r="F729" s="343" t="s">
        <v>207</v>
      </c>
      <c r="G729" s="343" t="s">
        <v>207</v>
      </c>
      <c r="H729" s="343" t="s">
        <v>207</v>
      </c>
      <c r="I729" s="344">
        <v>1068</v>
      </c>
      <c r="J729" s="343">
        <v>340</v>
      </c>
      <c r="K729" s="343">
        <v>108</v>
      </c>
      <c r="L729" s="343">
        <v>171</v>
      </c>
      <c r="M729" s="343">
        <v>99</v>
      </c>
      <c r="N729" s="343">
        <v>254</v>
      </c>
      <c r="O729" s="343">
        <v>248</v>
      </c>
      <c r="P729" s="345">
        <v>2296</v>
      </c>
    </row>
    <row r="730" spans="2:16" ht="15" customHeight="1" thickTop="1" thickBot="1">
      <c r="B730" s="723" t="s">
        <v>177</v>
      </c>
      <c r="C730" s="724"/>
      <c r="D730" s="346">
        <v>19014</v>
      </c>
      <c r="E730" s="346">
        <v>17014</v>
      </c>
      <c r="F730" s="346">
        <v>22274</v>
      </c>
      <c r="G730" s="346">
        <v>23497</v>
      </c>
      <c r="H730" s="346">
        <v>22100</v>
      </c>
      <c r="I730" s="346">
        <v>23531</v>
      </c>
      <c r="J730" s="346">
        <v>24185</v>
      </c>
      <c r="K730" s="346">
        <v>21975</v>
      </c>
      <c r="L730" s="346">
        <v>18007</v>
      </c>
      <c r="M730" s="346">
        <v>22012</v>
      </c>
      <c r="N730" s="346">
        <v>25854</v>
      </c>
      <c r="O730" s="346">
        <v>27045</v>
      </c>
      <c r="P730" s="347">
        <v>266508</v>
      </c>
    </row>
    <row r="731" spans="2:16" ht="15" customHeight="1" thickTop="1"/>
    <row r="732" spans="2:16" ht="15" customHeight="1"/>
    <row r="733" spans="2:16" ht="15" customHeight="1" thickBot="1">
      <c r="B733" s="18" t="s">
        <v>219</v>
      </c>
    </row>
    <row r="734" spans="2:16" ht="15" customHeight="1" thickTop="1" thickBot="1">
      <c r="B734" s="706" t="s">
        <v>168</v>
      </c>
      <c r="C734" s="707"/>
      <c r="D734" s="323" t="s">
        <v>180</v>
      </c>
      <c r="E734" s="323" t="s">
        <v>181</v>
      </c>
      <c r="F734" s="323" t="s">
        <v>182</v>
      </c>
      <c r="G734" s="323" t="s">
        <v>183</v>
      </c>
      <c r="H734" s="323" t="s">
        <v>184</v>
      </c>
      <c r="I734" s="323" t="s">
        <v>203</v>
      </c>
      <c r="J734" s="323" t="s">
        <v>186</v>
      </c>
      <c r="K734" s="323" t="s">
        <v>187</v>
      </c>
      <c r="L734" s="323" t="s">
        <v>188</v>
      </c>
      <c r="M734" s="323" t="s">
        <v>189</v>
      </c>
      <c r="N734" s="323" t="s">
        <v>190</v>
      </c>
      <c r="O734" s="323" t="s">
        <v>191</v>
      </c>
      <c r="P734" s="324" t="s">
        <v>169</v>
      </c>
    </row>
    <row r="735" spans="2:16" ht="15" customHeight="1" thickTop="1" thickBot="1">
      <c r="B735" s="325" t="s">
        <v>204</v>
      </c>
      <c r="C735" s="328" t="s">
        <v>220</v>
      </c>
      <c r="D735" s="331">
        <v>589</v>
      </c>
      <c r="E735" s="331">
        <v>526</v>
      </c>
      <c r="F735" s="331">
        <v>392</v>
      </c>
      <c r="G735" s="331">
        <v>148</v>
      </c>
      <c r="H735" s="331">
        <v>127</v>
      </c>
      <c r="I735" s="331">
        <v>48</v>
      </c>
      <c r="J735" s="331">
        <v>11</v>
      </c>
      <c r="K735" s="331" t="s">
        <v>207</v>
      </c>
      <c r="L735" s="331" t="s">
        <v>221</v>
      </c>
      <c r="M735" s="331" t="s">
        <v>207</v>
      </c>
      <c r="N735" s="331" t="s">
        <v>207</v>
      </c>
      <c r="O735" s="331" t="s">
        <v>207</v>
      </c>
      <c r="P735" s="330">
        <v>1841</v>
      </c>
    </row>
    <row r="736" spans="2:16" ht="15" customHeight="1" thickBot="1">
      <c r="B736" s="325" t="s">
        <v>205</v>
      </c>
      <c r="C736" s="328" t="s">
        <v>170</v>
      </c>
      <c r="D736" s="331" t="s">
        <v>207</v>
      </c>
      <c r="E736" s="331">
        <v>216</v>
      </c>
      <c r="F736" s="329">
        <v>2806</v>
      </c>
      <c r="G736" s="329">
        <v>2470</v>
      </c>
      <c r="H736" s="329">
        <v>1891</v>
      </c>
      <c r="I736" s="329">
        <v>2124</v>
      </c>
      <c r="J736" s="329">
        <v>1648</v>
      </c>
      <c r="K736" s="329">
        <v>1471</v>
      </c>
      <c r="L736" s="329">
        <v>1082</v>
      </c>
      <c r="M736" s="329">
        <v>1703</v>
      </c>
      <c r="N736" s="329">
        <v>1377</v>
      </c>
      <c r="O736" s="329">
        <v>1742</v>
      </c>
      <c r="P736" s="330">
        <v>18530</v>
      </c>
    </row>
    <row r="737" spans="2:16" ht="15" customHeight="1" thickBot="1">
      <c r="B737" s="326"/>
      <c r="C737" s="328" t="s">
        <v>206</v>
      </c>
      <c r="D737" s="331">
        <v>238</v>
      </c>
      <c r="E737" s="331">
        <v>300</v>
      </c>
      <c r="F737" s="331">
        <v>308</v>
      </c>
      <c r="G737" s="331">
        <v>253</v>
      </c>
      <c r="H737" s="331">
        <v>174</v>
      </c>
      <c r="I737" s="331">
        <v>200</v>
      </c>
      <c r="J737" s="331">
        <v>188</v>
      </c>
      <c r="K737" s="331">
        <v>126</v>
      </c>
      <c r="L737" s="331">
        <v>136</v>
      </c>
      <c r="M737" s="331">
        <v>197</v>
      </c>
      <c r="N737" s="331">
        <v>84</v>
      </c>
      <c r="O737" s="331">
        <v>69</v>
      </c>
      <c r="P737" s="330">
        <v>2273</v>
      </c>
    </row>
    <row r="738" spans="2:16" ht="15" customHeight="1" thickBot="1">
      <c r="B738" s="326"/>
      <c r="C738" s="328" t="s">
        <v>222</v>
      </c>
      <c r="D738" s="331">
        <v>15</v>
      </c>
      <c r="E738" s="331">
        <v>6</v>
      </c>
      <c r="F738" s="331" t="s">
        <v>207</v>
      </c>
      <c r="G738" s="331" t="s">
        <v>207</v>
      </c>
      <c r="H738" s="331" t="s">
        <v>207</v>
      </c>
      <c r="I738" s="331" t="s">
        <v>207</v>
      </c>
      <c r="J738" s="331" t="s">
        <v>207</v>
      </c>
      <c r="K738" s="331" t="s">
        <v>207</v>
      </c>
      <c r="L738" s="331" t="s">
        <v>207</v>
      </c>
      <c r="M738" s="331" t="s">
        <v>207</v>
      </c>
      <c r="N738" s="331" t="s">
        <v>207</v>
      </c>
      <c r="O738" s="331" t="s">
        <v>207</v>
      </c>
      <c r="P738" s="332">
        <v>21</v>
      </c>
    </row>
    <row r="739" spans="2:16" ht="15" customHeight="1" thickBot="1">
      <c r="B739" s="326"/>
      <c r="C739" s="328" t="s">
        <v>172</v>
      </c>
      <c r="D739" s="329">
        <v>1753</v>
      </c>
      <c r="E739" s="329">
        <v>1818</v>
      </c>
      <c r="F739" s="329">
        <v>1870</v>
      </c>
      <c r="G739" s="329">
        <v>1636</v>
      </c>
      <c r="H739" s="329">
        <v>1675</v>
      </c>
      <c r="I739" s="329">
        <v>1841</v>
      </c>
      <c r="J739" s="329">
        <v>1737</v>
      </c>
      <c r="K739" s="329">
        <v>1670</v>
      </c>
      <c r="L739" s="329">
        <v>1834</v>
      </c>
      <c r="M739" s="329">
        <v>1620</v>
      </c>
      <c r="N739" s="329">
        <v>2125</v>
      </c>
      <c r="O739" s="329">
        <v>1898</v>
      </c>
      <c r="P739" s="330">
        <v>21477</v>
      </c>
    </row>
    <row r="740" spans="2:16" ht="15" customHeight="1" thickBot="1">
      <c r="B740" s="326"/>
      <c r="C740" s="328" t="s">
        <v>208</v>
      </c>
      <c r="D740" s="329">
        <v>1489</v>
      </c>
      <c r="E740" s="329">
        <v>2641</v>
      </c>
      <c r="F740" s="329">
        <v>2758</v>
      </c>
      <c r="G740" s="329">
        <v>2345</v>
      </c>
      <c r="H740" s="329">
        <v>2444</v>
      </c>
      <c r="I740" s="329">
        <v>2655</v>
      </c>
      <c r="J740" s="329">
        <v>2547</v>
      </c>
      <c r="K740" s="329">
        <v>2277</v>
      </c>
      <c r="L740" s="329">
        <v>2241</v>
      </c>
      <c r="M740" s="329">
        <v>2941</v>
      </c>
      <c r="N740" s="329">
        <v>2870</v>
      </c>
      <c r="O740" s="329">
        <v>2748</v>
      </c>
      <c r="P740" s="330">
        <v>29956</v>
      </c>
    </row>
    <row r="741" spans="2:16" ht="15" customHeight="1" thickBot="1">
      <c r="B741" s="326"/>
      <c r="C741" s="328" t="s">
        <v>209</v>
      </c>
      <c r="D741" s="331">
        <v>753</v>
      </c>
      <c r="E741" s="329">
        <v>1011</v>
      </c>
      <c r="F741" s="329">
        <v>1018</v>
      </c>
      <c r="G741" s="331">
        <v>759</v>
      </c>
      <c r="H741" s="331">
        <v>883</v>
      </c>
      <c r="I741" s="331">
        <v>910</v>
      </c>
      <c r="J741" s="331">
        <v>885</v>
      </c>
      <c r="K741" s="331">
        <v>678</v>
      </c>
      <c r="L741" s="331">
        <v>823</v>
      </c>
      <c r="M741" s="331">
        <v>721</v>
      </c>
      <c r="N741" s="331">
        <v>749</v>
      </c>
      <c r="O741" s="331">
        <v>995</v>
      </c>
      <c r="P741" s="330">
        <v>10185</v>
      </c>
    </row>
    <row r="742" spans="2:16" ht="15" customHeight="1" thickBot="1">
      <c r="B742" s="326"/>
      <c r="C742" s="328" t="s">
        <v>223</v>
      </c>
      <c r="D742" s="331">
        <v>28</v>
      </c>
      <c r="E742" s="331" t="s">
        <v>207</v>
      </c>
      <c r="F742" s="331">
        <v>1</v>
      </c>
      <c r="G742" s="331" t="s">
        <v>207</v>
      </c>
      <c r="H742" s="331" t="s">
        <v>207</v>
      </c>
      <c r="I742" s="331" t="s">
        <v>207</v>
      </c>
      <c r="J742" s="331" t="s">
        <v>207</v>
      </c>
      <c r="K742" s="331" t="s">
        <v>207</v>
      </c>
      <c r="L742" s="331" t="s">
        <v>207</v>
      </c>
      <c r="M742" s="331" t="s">
        <v>207</v>
      </c>
      <c r="N742" s="331" t="s">
        <v>207</v>
      </c>
      <c r="O742" s="331" t="s">
        <v>207</v>
      </c>
      <c r="P742" s="332">
        <v>29</v>
      </c>
    </row>
    <row r="743" spans="2:16" ht="15" customHeight="1" thickBot="1">
      <c r="B743" s="326"/>
      <c r="C743" s="328" t="s">
        <v>174</v>
      </c>
      <c r="D743" s="331">
        <v>662</v>
      </c>
      <c r="E743" s="329">
        <v>1094</v>
      </c>
      <c r="F743" s="329">
        <v>1064</v>
      </c>
      <c r="G743" s="331">
        <v>958</v>
      </c>
      <c r="H743" s="331">
        <v>820</v>
      </c>
      <c r="I743" s="331">
        <v>235</v>
      </c>
      <c r="J743" s="331">
        <v>913</v>
      </c>
      <c r="K743" s="331">
        <v>513</v>
      </c>
      <c r="L743" s="331">
        <v>861</v>
      </c>
      <c r="M743" s="331">
        <v>602</v>
      </c>
      <c r="N743" s="331">
        <v>607</v>
      </c>
      <c r="O743" s="331">
        <v>872</v>
      </c>
      <c r="P743" s="330">
        <v>9201</v>
      </c>
    </row>
    <row r="744" spans="2:16" ht="15" customHeight="1" thickBot="1">
      <c r="B744" s="326"/>
      <c r="C744" s="328" t="s">
        <v>210</v>
      </c>
      <c r="D744" s="331">
        <v>863</v>
      </c>
      <c r="E744" s="329">
        <v>1800</v>
      </c>
      <c r="F744" s="329">
        <v>1185</v>
      </c>
      <c r="G744" s="329">
        <v>1341</v>
      </c>
      <c r="H744" s="331">
        <v>897</v>
      </c>
      <c r="I744" s="331">
        <v>793</v>
      </c>
      <c r="J744" s="331">
        <v>555</v>
      </c>
      <c r="K744" s="331">
        <v>359</v>
      </c>
      <c r="L744" s="331">
        <v>252</v>
      </c>
      <c r="M744" s="331">
        <v>160</v>
      </c>
      <c r="N744" s="331">
        <v>157</v>
      </c>
      <c r="O744" s="331">
        <v>297</v>
      </c>
      <c r="P744" s="330">
        <v>8659</v>
      </c>
    </row>
    <row r="745" spans="2:16" ht="15" customHeight="1" thickBot="1">
      <c r="B745" s="326"/>
      <c r="C745" s="328" t="s">
        <v>175</v>
      </c>
      <c r="D745" s="329">
        <v>1471</v>
      </c>
      <c r="E745" s="329">
        <v>2115</v>
      </c>
      <c r="F745" s="329">
        <v>2451</v>
      </c>
      <c r="G745" s="329">
        <v>1977</v>
      </c>
      <c r="H745" s="329">
        <v>1643</v>
      </c>
      <c r="I745" s="329">
        <v>2379</v>
      </c>
      <c r="J745" s="329">
        <v>1674</v>
      </c>
      <c r="K745" s="329">
        <v>1469</v>
      </c>
      <c r="L745" s="329">
        <v>1259</v>
      </c>
      <c r="M745" s="329">
        <v>1182</v>
      </c>
      <c r="N745" s="329">
        <v>1278</v>
      </c>
      <c r="O745" s="331">
        <v>417</v>
      </c>
      <c r="P745" s="330">
        <v>19315</v>
      </c>
    </row>
    <row r="746" spans="2:16" ht="15" customHeight="1" thickBot="1">
      <c r="B746" s="326"/>
      <c r="C746" s="328" t="s">
        <v>212</v>
      </c>
      <c r="D746" s="331" t="s">
        <v>207</v>
      </c>
      <c r="E746" s="331" t="s">
        <v>207</v>
      </c>
      <c r="F746" s="331" t="s">
        <v>207</v>
      </c>
      <c r="G746" s="331" t="s">
        <v>207</v>
      </c>
      <c r="H746" s="331" t="s">
        <v>207</v>
      </c>
      <c r="I746" s="331" t="s">
        <v>207</v>
      </c>
      <c r="J746" s="331" t="s">
        <v>207</v>
      </c>
      <c r="K746" s="329">
        <v>4747</v>
      </c>
      <c r="L746" s="329">
        <v>6608</v>
      </c>
      <c r="M746" s="329">
        <v>5110</v>
      </c>
      <c r="N746" s="329">
        <v>5881</v>
      </c>
      <c r="O746" s="329">
        <v>5213</v>
      </c>
      <c r="P746" s="330">
        <v>27559</v>
      </c>
    </row>
    <row r="747" spans="2:16" ht="15" customHeight="1" thickBot="1">
      <c r="B747" s="326"/>
      <c r="C747" s="328" t="s">
        <v>176</v>
      </c>
      <c r="D747" s="329">
        <v>5415</v>
      </c>
      <c r="E747" s="329">
        <v>5988</v>
      </c>
      <c r="F747" s="329">
        <v>4655</v>
      </c>
      <c r="G747" s="329">
        <v>5035</v>
      </c>
      <c r="H747" s="329">
        <v>5326</v>
      </c>
      <c r="I747" s="329">
        <v>4512</v>
      </c>
      <c r="J747" s="329">
        <v>4065</v>
      </c>
      <c r="K747" s="329">
        <v>3324</v>
      </c>
      <c r="L747" s="329">
        <v>2554</v>
      </c>
      <c r="M747" s="329">
        <v>2561</v>
      </c>
      <c r="N747" s="329">
        <v>2428</v>
      </c>
      <c r="O747" s="329">
        <v>2219</v>
      </c>
      <c r="P747" s="330">
        <v>48082</v>
      </c>
    </row>
    <row r="748" spans="2:16" ht="15" customHeight="1" thickBot="1">
      <c r="B748" s="327"/>
      <c r="C748" s="334" t="s">
        <v>169</v>
      </c>
      <c r="D748" s="335">
        <v>13276</v>
      </c>
      <c r="E748" s="335">
        <v>17515</v>
      </c>
      <c r="F748" s="335">
        <v>18508</v>
      </c>
      <c r="G748" s="335">
        <v>16922</v>
      </c>
      <c r="H748" s="335">
        <v>15880</v>
      </c>
      <c r="I748" s="335">
        <v>15697</v>
      </c>
      <c r="J748" s="335">
        <v>14223</v>
      </c>
      <c r="K748" s="335">
        <v>16634</v>
      </c>
      <c r="L748" s="335">
        <v>17650</v>
      </c>
      <c r="M748" s="335">
        <v>16797</v>
      </c>
      <c r="N748" s="335">
        <v>17556</v>
      </c>
      <c r="O748" s="335">
        <v>16470</v>
      </c>
      <c r="P748" s="336">
        <v>197128</v>
      </c>
    </row>
    <row r="749" spans="2:16" ht="15" customHeight="1" thickBot="1">
      <c r="B749" s="325" t="s">
        <v>213</v>
      </c>
      <c r="C749" s="328" t="s">
        <v>214</v>
      </c>
      <c r="D749" s="339">
        <v>675</v>
      </c>
      <c r="E749" s="338">
        <v>1287</v>
      </c>
      <c r="F749" s="338">
        <v>1419</v>
      </c>
      <c r="G749" s="338">
        <v>1185</v>
      </c>
      <c r="H749" s="338">
        <v>1047</v>
      </c>
      <c r="I749" s="338">
        <v>1131</v>
      </c>
      <c r="J749" s="338">
        <v>1272</v>
      </c>
      <c r="K749" s="339">
        <v>989</v>
      </c>
      <c r="L749" s="339">
        <v>885</v>
      </c>
      <c r="M749" s="338">
        <v>1114</v>
      </c>
      <c r="N749" s="339">
        <v>948</v>
      </c>
      <c r="O749" s="338">
        <v>1076</v>
      </c>
      <c r="P749" s="340">
        <v>13028</v>
      </c>
    </row>
    <row r="750" spans="2:16" ht="15" customHeight="1" thickBot="1">
      <c r="B750" s="325" t="s">
        <v>205</v>
      </c>
      <c r="C750" s="328" t="s">
        <v>215</v>
      </c>
      <c r="D750" s="329">
        <v>1085</v>
      </c>
      <c r="E750" s="329">
        <v>2635</v>
      </c>
      <c r="F750" s="329">
        <v>3445</v>
      </c>
      <c r="G750" s="329">
        <v>3859</v>
      </c>
      <c r="H750" s="329">
        <v>3592</v>
      </c>
      <c r="I750" s="329">
        <v>4017</v>
      </c>
      <c r="J750" s="329">
        <v>3195</v>
      </c>
      <c r="K750" s="329">
        <v>3379</v>
      </c>
      <c r="L750" s="329">
        <v>3392</v>
      </c>
      <c r="M750" s="329">
        <v>3847</v>
      </c>
      <c r="N750" s="329">
        <v>3374</v>
      </c>
      <c r="O750" s="329">
        <v>1115</v>
      </c>
      <c r="P750" s="330">
        <v>36935</v>
      </c>
    </row>
    <row r="751" spans="2:16" ht="15" customHeight="1" thickBot="1">
      <c r="B751" s="326"/>
      <c r="C751" s="328" t="s">
        <v>224</v>
      </c>
      <c r="D751" s="331">
        <v>11</v>
      </c>
      <c r="E751" s="331" t="s">
        <v>207</v>
      </c>
      <c r="F751" s="331" t="s">
        <v>207</v>
      </c>
      <c r="G751" s="331" t="s">
        <v>207</v>
      </c>
      <c r="H751" s="331" t="s">
        <v>207</v>
      </c>
      <c r="I751" s="331" t="s">
        <v>207</v>
      </c>
      <c r="J751" s="331" t="s">
        <v>207</v>
      </c>
      <c r="K751" s="331" t="s">
        <v>207</v>
      </c>
      <c r="L751" s="331" t="s">
        <v>207</v>
      </c>
      <c r="M751" s="331" t="s">
        <v>207</v>
      </c>
      <c r="N751" s="331" t="s">
        <v>207</v>
      </c>
      <c r="O751" s="331" t="s">
        <v>207</v>
      </c>
      <c r="P751" s="332">
        <v>11</v>
      </c>
    </row>
    <row r="752" spans="2:16" ht="15" customHeight="1" thickBot="1">
      <c r="B752" s="326"/>
      <c r="C752" s="328" t="s">
        <v>216</v>
      </c>
      <c r="D752" s="331">
        <v>150</v>
      </c>
      <c r="E752" s="331">
        <v>221</v>
      </c>
      <c r="F752" s="331">
        <v>260</v>
      </c>
      <c r="G752" s="331">
        <v>181</v>
      </c>
      <c r="H752" s="331">
        <v>170</v>
      </c>
      <c r="I752" s="331">
        <v>167</v>
      </c>
      <c r="J752" s="331">
        <v>84</v>
      </c>
      <c r="K752" s="331">
        <v>10</v>
      </c>
      <c r="L752" s="331">
        <v>45</v>
      </c>
      <c r="M752" s="331">
        <v>130</v>
      </c>
      <c r="N752" s="331">
        <v>83</v>
      </c>
      <c r="O752" s="331">
        <v>130</v>
      </c>
      <c r="P752" s="330">
        <v>1631</v>
      </c>
    </row>
    <row r="753" spans="2:16" ht="15" customHeight="1" thickBot="1">
      <c r="B753" s="337"/>
      <c r="C753" s="334" t="s">
        <v>169</v>
      </c>
      <c r="D753" s="341">
        <v>1921</v>
      </c>
      <c r="E753" s="341">
        <v>4143</v>
      </c>
      <c r="F753" s="341">
        <v>5124</v>
      </c>
      <c r="G753" s="341">
        <v>5225</v>
      </c>
      <c r="H753" s="341">
        <v>4809</v>
      </c>
      <c r="I753" s="341">
        <v>5315</v>
      </c>
      <c r="J753" s="341">
        <v>4551</v>
      </c>
      <c r="K753" s="341">
        <v>4378</v>
      </c>
      <c r="L753" s="341">
        <v>4322</v>
      </c>
      <c r="M753" s="341">
        <v>5091</v>
      </c>
      <c r="N753" s="341">
        <v>4405</v>
      </c>
      <c r="O753" s="341">
        <v>2321</v>
      </c>
      <c r="P753" s="342">
        <v>51605</v>
      </c>
    </row>
    <row r="754" spans="2:16" ht="15" customHeight="1" thickBot="1">
      <c r="B754" s="708" t="s">
        <v>217</v>
      </c>
      <c r="C754" s="709"/>
      <c r="D754" s="343">
        <v>4</v>
      </c>
      <c r="E754" s="343">
        <v>1</v>
      </c>
      <c r="F754" s="343">
        <v>0</v>
      </c>
      <c r="G754" s="343">
        <v>173</v>
      </c>
      <c r="H754" s="343">
        <v>175</v>
      </c>
      <c r="I754" s="343">
        <v>0</v>
      </c>
      <c r="J754" s="343">
        <v>348</v>
      </c>
      <c r="K754" s="343">
        <v>158</v>
      </c>
      <c r="L754" s="343">
        <v>340</v>
      </c>
      <c r="M754" s="343">
        <v>586</v>
      </c>
      <c r="N754" s="343">
        <v>347</v>
      </c>
      <c r="O754" s="343">
        <v>781</v>
      </c>
      <c r="P754" s="345">
        <v>2913</v>
      </c>
    </row>
    <row r="755" spans="2:16" ht="15" customHeight="1" thickTop="1" thickBot="1">
      <c r="B755" s="723" t="s">
        <v>177</v>
      </c>
      <c r="C755" s="724"/>
      <c r="D755" s="346">
        <v>15201</v>
      </c>
      <c r="E755" s="346">
        <v>21659</v>
      </c>
      <c r="F755" s="346">
        <v>23632</v>
      </c>
      <c r="G755" s="346">
        <v>22320</v>
      </c>
      <c r="H755" s="346">
        <v>20864</v>
      </c>
      <c r="I755" s="346">
        <v>21012</v>
      </c>
      <c r="J755" s="346">
        <v>19122</v>
      </c>
      <c r="K755" s="346">
        <v>21170</v>
      </c>
      <c r="L755" s="346">
        <v>22312</v>
      </c>
      <c r="M755" s="346">
        <v>22474</v>
      </c>
      <c r="N755" s="346">
        <v>22308</v>
      </c>
      <c r="O755" s="346">
        <v>19572</v>
      </c>
      <c r="P755" s="347">
        <v>251646</v>
      </c>
    </row>
    <row r="756" spans="2:16" ht="15" customHeight="1" thickTop="1"/>
    <row r="757" spans="2:16" ht="15" customHeight="1"/>
    <row r="758" spans="2:16" ht="15" customHeight="1" thickBot="1">
      <c r="B758" s="18" t="s">
        <v>225</v>
      </c>
    </row>
    <row r="759" spans="2:16" ht="15" customHeight="1" thickBot="1">
      <c r="B759" s="725" t="s">
        <v>226</v>
      </c>
      <c r="C759" s="726"/>
      <c r="D759" s="375" t="s">
        <v>169</v>
      </c>
      <c r="E759" s="376" t="s">
        <v>180</v>
      </c>
      <c r="F759" s="377" t="s">
        <v>181</v>
      </c>
      <c r="G759" s="377" t="s">
        <v>182</v>
      </c>
      <c r="H759" s="377" t="s">
        <v>183</v>
      </c>
      <c r="I759" s="377" t="s">
        <v>184</v>
      </c>
      <c r="J759" s="377" t="s">
        <v>203</v>
      </c>
      <c r="K759" s="377" t="s">
        <v>186</v>
      </c>
      <c r="L759" s="377" t="s">
        <v>187</v>
      </c>
      <c r="M759" s="377" t="s">
        <v>188</v>
      </c>
      <c r="N759" s="377" t="s">
        <v>189</v>
      </c>
      <c r="O759" s="377" t="s">
        <v>190</v>
      </c>
      <c r="P759" s="378" t="s">
        <v>191</v>
      </c>
    </row>
    <row r="760" spans="2:16" ht="15" customHeight="1">
      <c r="B760" s="379"/>
      <c r="C760" s="380" t="s">
        <v>227</v>
      </c>
      <c r="D760" s="381">
        <f t="shared" ref="D760:D785" si="209">E760+F760+G760+H760+I760+J760+K760+L760+M760+N760+O760+P760</f>
        <v>8192</v>
      </c>
      <c r="E760" s="382">
        <v>690</v>
      </c>
      <c r="F760" s="383">
        <v>795</v>
      </c>
      <c r="G760" s="383">
        <v>1042</v>
      </c>
      <c r="H760" s="383">
        <v>830</v>
      </c>
      <c r="I760" s="384">
        <v>1010</v>
      </c>
      <c r="J760" s="385">
        <v>855</v>
      </c>
      <c r="K760" s="383">
        <v>583</v>
      </c>
      <c r="L760" s="383">
        <v>450</v>
      </c>
      <c r="M760" s="383">
        <v>502</v>
      </c>
      <c r="N760" s="383">
        <v>602</v>
      </c>
      <c r="O760" s="383">
        <v>332</v>
      </c>
      <c r="P760" s="386">
        <v>501</v>
      </c>
    </row>
    <row r="761" spans="2:16" ht="15" customHeight="1">
      <c r="B761" s="379"/>
      <c r="C761" s="387" t="s">
        <v>228</v>
      </c>
      <c r="D761" s="381">
        <f t="shared" si="209"/>
        <v>7838</v>
      </c>
      <c r="E761" s="388">
        <v>770</v>
      </c>
      <c r="F761" s="389">
        <v>1195</v>
      </c>
      <c r="G761" s="389">
        <v>920</v>
      </c>
      <c r="H761" s="389">
        <v>864</v>
      </c>
      <c r="I761" s="390">
        <v>687</v>
      </c>
      <c r="J761" s="391">
        <v>567</v>
      </c>
      <c r="K761" s="389">
        <v>429</v>
      </c>
      <c r="L761" s="389">
        <v>603</v>
      </c>
      <c r="M761" s="389">
        <v>657</v>
      </c>
      <c r="N761" s="389">
        <v>628</v>
      </c>
      <c r="O761" s="389">
        <v>356</v>
      </c>
      <c r="P761" s="392">
        <v>162</v>
      </c>
    </row>
    <row r="762" spans="2:16" ht="15" customHeight="1">
      <c r="B762" s="379"/>
      <c r="C762" s="387" t="s">
        <v>229</v>
      </c>
      <c r="D762" s="381"/>
      <c r="E762" s="388"/>
      <c r="F762" s="389"/>
      <c r="G762" s="389"/>
      <c r="H762" s="389"/>
      <c r="I762" s="390"/>
      <c r="J762" s="391"/>
      <c r="K762" s="389"/>
      <c r="L762" s="389"/>
      <c r="M762" s="389"/>
      <c r="N762" s="389"/>
      <c r="O762" s="389">
        <v>2338</v>
      </c>
      <c r="P762" s="392">
        <v>1979</v>
      </c>
    </row>
    <row r="763" spans="2:16" ht="15" customHeight="1">
      <c r="B763" s="379"/>
      <c r="C763" s="387" t="s">
        <v>230</v>
      </c>
      <c r="D763" s="381">
        <f t="shared" si="209"/>
        <v>11334</v>
      </c>
      <c r="E763" s="388">
        <v>1374</v>
      </c>
      <c r="F763" s="389">
        <v>1616</v>
      </c>
      <c r="G763" s="389">
        <v>1354</v>
      </c>
      <c r="H763" s="389">
        <v>1275</v>
      </c>
      <c r="I763" s="390">
        <v>1426</v>
      </c>
      <c r="J763" s="391">
        <v>852</v>
      </c>
      <c r="K763" s="389">
        <v>1026</v>
      </c>
      <c r="L763" s="389">
        <v>1002</v>
      </c>
      <c r="M763" s="389">
        <v>905</v>
      </c>
      <c r="N763" s="389">
        <v>328</v>
      </c>
      <c r="O763" s="389">
        <v>104</v>
      </c>
      <c r="P763" s="392">
        <v>72</v>
      </c>
    </row>
    <row r="764" spans="2:16" ht="15" customHeight="1">
      <c r="B764" s="379"/>
      <c r="C764" s="387" t="s">
        <v>231</v>
      </c>
      <c r="D764" s="381">
        <f t="shared" si="209"/>
        <v>3013</v>
      </c>
      <c r="E764" s="388">
        <v>429</v>
      </c>
      <c r="F764" s="389">
        <v>455</v>
      </c>
      <c r="G764" s="389">
        <v>370</v>
      </c>
      <c r="H764" s="389">
        <v>333</v>
      </c>
      <c r="I764" s="390">
        <v>310</v>
      </c>
      <c r="J764" s="391">
        <v>227</v>
      </c>
      <c r="K764" s="389">
        <v>279</v>
      </c>
      <c r="L764" s="389">
        <v>199</v>
      </c>
      <c r="M764" s="389">
        <v>180</v>
      </c>
      <c r="N764" s="389">
        <v>103</v>
      </c>
      <c r="O764" s="389">
        <v>60</v>
      </c>
      <c r="P764" s="392">
        <v>68</v>
      </c>
    </row>
    <row r="765" spans="2:16" ht="15" customHeight="1">
      <c r="B765" s="379"/>
      <c r="C765" s="387" t="s">
        <v>232</v>
      </c>
      <c r="D765" s="381">
        <f t="shared" si="209"/>
        <v>16463</v>
      </c>
      <c r="E765" s="388">
        <v>1560</v>
      </c>
      <c r="F765" s="389">
        <v>1533</v>
      </c>
      <c r="G765" s="389">
        <v>1493</v>
      </c>
      <c r="H765" s="389">
        <v>1705</v>
      </c>
      <c r="I765" s="390">
        <v>1442</v>
      </c>
      <c r="J765" s="391">
        <v>1061</v>
      </c>
      <c r="K765" s="389">
        <v>1348</v>
      </c>
      <c r="L765" s="389">
        <v>506</v>
      </c>
      <c r="M765" s="389">
        <v>2559</v>
      </c>
      <c r="N765" s="389">
        <v>1069</v>
      </c>
      <c r="O765" s="389">
        <v>1002</v>
      </c>
      <c r="P765" s="392">
        <v>1185</v>
      </c>
    </row>
    <row r="766" spans="2:16" ht="15" customHeight="1">
      <c r="B766" s="379"/>
      <c r="C766" s="387" t="s">
        <v>233</v>
      </c>
      <c r="D766" s="381">
        <f t="shared" si="209"/>
        <v>14684</v>
      </c>
      <c r="E766" s="388">
        <v>1377</v>
      </c>
      <c r="F766" s="389">
        <v>1610</v>
      </c>
      <c r="G766" s="389">
        <v>1424</v>
      </c>
      <c r="H766" s="389">
        <v>1757</v>
      </c>
      <c r="I766" s="390">
        <v>1307</v>
      </c>
      <c r="J766" s="391">
        <v>993</v>
      </c>
      <c r="K766" s="389">
        <v>1573</v>
      </c>
      <c r="L766" s="389">
        <v>692</v>
      </c>
      <c r="M766" s="389"/>
      <c r="N766" s="389">
        <v>1875</v>
      </c>
      <c r="O766" s="389">
        <v>972</v>
      </c>
      <c r="P766" s="392">
        <v>1104</v>
      </c>
    </row>
    <row r="767" spans="2:16" ht="15" customHeight="1">
      <c r="B767" s="379"/>
      <c r="C767" s="387" t="s">
        <v>28</v>
      </c>
      <c r="D767" s="381">
        <f t="shared" si="209"/>
        <v>13001</v>
      </c>
      <c r="E767" s="388"/>
      <c r="F767" s="389"/>
      <c r="G767" s="389">
        <v>411</v>
      </c>
      <c r="H767" s="389">
        <v>2812</v>
      </c>
      <c r="I767" s="390">
        <v>2033</v>
      </c>
      <c r="J767" s="393">
        <v>1167</v>
      </c>
      <c r="K767" s="389">
        <v>1727</v>
      </c>
      <c r="L767" s="389">
        <v>1026</v>
      </c>
      <c r="M767" s="389">
        <v>934</v>
      </c>
      <c r="N767" s="389">
        <v>993</v>
      </c>
      <c r="O767" s="389">
        <v>729</v>
      </c>
      <c r="P767" s="392">
        <v>1169</v>
      </c>
    </row>
    <row r="768" spans="2:16" ht="15" customHeight="1">
      <c r="B768" s="379"/>
      <c r="C768" s="394" t="s">
        <v>234</v>
      </c>
      <c r="D768" s="395">
        <f t="shared" si="209"/>
        <v>78842</v>
      </c>
      <c r="E768" s="396">
        <f t="shared" ref="E768:K768" si="210">SUM(E760:E767)</f>
        <v>6200</v>
      </c>
      <c r="F768" s="397">
        <f t="shared" si="210"/>
        <v>7204</v>
      </c>
      <c r="G768" s="397">
        <f t="shared" si="210"/>
        <v>7014</v>
      </c>
      <c r="H768" s="397">
        <f t="shared" si="210"/>
        <v>9576</v>
      </c>
      <c r="I768" s="398">
        <f t="shared" si="210"/>
        <v>8215</v>
      </c>
      <c r="J768" s="397">
        <f t="shared" si="210"/>
        <v>5722</v>
      </c>
      <c r="K768" s="397">
        <f t="shared" si="210"/>
        <v>6965</v>
      </c>
      <c r="L768" s="397">
        <f>SUM(L760:L767)</f>
        <v>4478</v>
      </c>
      <c r="M768" s="397">
        <f>SUM(M760:M767)</f>
        <v>5737</v>
      </c>
      <c r="N768" s="397">
        <f>SUM(N760:N767)</f>
        <v>5598</v>
      </c>
      <c r="O768" s="397">
        <f>SUM(O760:O767)</f>
        <v>5893</v>
      </c>
      <c r="P768" s="397">
        <f>SUM(P760:P767)</f>
        <v>6240</v>
      </c>
    </row>
    <row r="769" spans="2:16" ht="15" customHeight="1">
      <c r="B769" s="379"/>
      <c r="C769" s="387" t="s">
        <v>235</v>
      </c>
      <c r="D769" s="381">
        <f>SUM(E769:P769)</f>
        <v>68005</v>
      </c>
      <c r="E769" s="388">
        <v>6300</v>
      </c>
      <c r="F769" s="389">
        <v>6013</v>
      </c>
      <c r="G769" s="389">
        <v>6772</v>
      </c>
      <c r="H769" s="389">
        <v>6929</v>
      </c>
      <c r="I769" s="390">
        <v>6011</v>
      </c>
      <c r="J769" s="391">
        <v>6589</v>
      </c>
      <c r="K769" s="389">
        <v>2950</v>
      </c>
      <c r="L769" s="389">
        <v>2865</v>
      </c>
      <c r="M769" s="389">
        <v>6047</v>
      </c>
      <c r="N769" s="389">
        <v>6625</v>
      </c>
      <c r="O769" s="389">
        <v>5779</v>
      </c>
      <c r="P769" s="392">
        <v>5125</v>
      </c>
    </row>
    <row r="770" spans="2:16" ht="15" customHeight="1">
      <c r="B770" s="379"/>
      <c r="C770" s="387" t="s">
        <v>236</v>
      </c>
      <c r="D770" s="381">
        <f t="shared" si="209"/>
        <v>36134</v>
      </c>
      <c r="E770" s="388">
        <v>3787</v>
      </c>
      <c r="F770" s="389">
        <v>3556</v>
      </c>
      <c r="G770" s="389">
        <v>4267</v>
      </c>
      <c r="H770" s="389">
        <v>3557</v>
      </c>
      <c r="I770" s="390">
        <v>3220</v>
      </c>
      <c r="J770" s="391">
        <v>2519</v>
      </c>
      <c r="K770" s="389">
        <v>3742</v>
      </c>
      <c r="L770" s="389">
        <v>2524</v>
      </c>
      <c r="M770" s="389">
        <v>2544</v>
      </c>
      <c r="N770" s="389">
        <v>2303</v>
      </c>
      <c r="O770" s="389">
        <v>2892</v>
      </c>
      <c r="P770" s="392">
        <v>1223</v>
      </c>
    </row>
    <row r="771" spans="2:16" ht="15" customHeight="1">
      <c r="B771" s="379"/>
      <c r="C771" s="387" t="s">
        <v>237</v>
      </c>
      <c r="D771" s="381">
        <f>SUM(E771:P771)</f>
        <v>32987</v>
      </c>
      <c r="E771" s="388">
        <v>4540</v>
      </c>
      <c r="F771" s="389">
        <v>3201</v>
      </c>
      <c r="G771" s="389">
        <v>3316</v>
      </c>
      <c r="H771" s="389">
        <v>4230</v>
      </c>
      <c r="I771" s="390">
        <v>4800</v>
      </c>
      <c r="J771" s="391">
        <v>3721</v>
      </c>
      <c r="K771" s="389">
        <v>1537</v>
      </c>
      <c r="L771" s="389">
        <v>84</v>
      </c>
      <c r="M771" s="389">
        <v>3471</v>
      </c>
      <c r="N771" s="389">
        <v>1660</v>
      </c>
      <c r="O771" s="389">
        <v>1243</v>
      </c>
      <c r="P771" s="392">
        <v>1184</v>
      </c>
    </row>
    <row r="772" spans="2:16" ht="15" customHeight="1">
      <c r="B772" s="379"/>
      <c r="C772" s="387" t="s">
        <v>238</v>
      </c>
      <c r="D772" s="381">
        <f>E772+F772+G772+H772+I772+J772+K772+L772+M772+N772+O772+P772</f>
        <v>1202</v>
      </c>
      <c r="E772" s="388">
        <v>141</v>
      </c>
      <c r="F772" s="389">
        <v>123</v>
      </c>
      <c r="G772" s="389">
        <v>101</v>
      </c>
      <c r="H772" s="389">
        <v>78</v>
      </c>
      <c r="I772" s="390">
        <v>63</v>
      </c>
      <c r="J772" s="389">
        <v>79</v>
      </c>
      <c r="K772" s="389">
        <v>48</v>
      </c>
      <c r="L772" s="389">
        <v>65</v>
      </c>
      <c r="M772" s="389">
        <v>143</v>
      </c>
      <c r="N772" s="389">
        <v>135</v>
      </c>
      <c r="O772" s="389">
        <v>155</v>
      </c>
      <c r="P772" s="392">
        <v>71</v>
      </c>
    </row>
    <row r="773" spans="2:16" ht="15" customHeight="1">
      <c r="B773" s="379"/>
      <c r="C773" s="399" t="s">
        <v>200</v>
      </c>
      <c r="D773" s="400"/>
      <c r="E773" s="401"/>
      <c r="F773" s="393"/>
      <c r="G773" s="393"/>
      <c r="H773" s="393"/>
      <c r="I773" s="402"/>
      <c r="J773" s="393"/>
      <c r="K773" s="393">
        <v>1132</v>
      </c>
      <c r="L773" s="393">
        <v>539</v>
      </c>
      <c r="M773" s="393"/>
      <c r="N773" s="393">
        <v>2202</v>
      </c>
      <c r="O773" s="393">
        <v>1378</v>
      </c>
      <c r="P773" s="403">
        <v>1916</v>
      </c>
    </row>
    <row r="774" spans="2:16" ht="15" customHeight="1">
      <c r="B774" s="379"/>
      <c r="C774" s="394" t="s">
        <v>239</v>
      </c>
      <c r="D774" s="395">
        <f t="shared" si="209"/>
        <v>145495</v>
      </c>
      <c r="E774" s="396">
        <f t="shared" ref="E774:N774" si="211">SUM(E769:E773)</f>
        <v>14768</v>
      </c>
      <c r="F774" s="397">
        <f t="shared" si="211"/>
        <v>12893</v>
      </c>
      <c r="G774" s="397">
        <f t="shared" si="211"/>
        <v>14456</v>
      </c>
      <c r="H774" s="397">
        <f t="shared" si="211"/>
        <v>14794</v>
      </c>
      <c r="I774" s="398">
        <f t="shared" si="211"/>
        <v>14094</v>
      </c>
      <c r="J774" s="397">
        <f t="shared" si="211"/>
        <v>12908</v>
      </c>
      <c r="K774" s="397">
        <f t="shared" si="211"/>
        <v>9409</v>
      </c>
      <c r="L774" s="397">
        <f t="shared" si="211"/>
        <v>6077</v>
      </c>
      <c r="M774" s="397">
        <f t="shared" si="211"/>
        <v>12205</v>
      </c>
      <c r="N774" s="397">
        <f t="shared" si="211"/>
        <v>12925</v>
      </c>
      <c r="O774" s="397">
        <f>SUM(O769:O773)</f>
        <v>11447</v>
      </c>
      <c r="P774" s="397">
        <f>SUM(P769:P773)</f>
        <v>9519</v>
      </c>
    </row>
    <row r="775" spans="2:16" ht="15" customHeight="1">
      <c r="B775" s="379"/>
      <c r="C775" s="387" t="s">
        <v>240</v>
      </c>
      <c r="D775" s="381">
        <f t="shared" si="209"/>
        <v>11583</v>
      </c>
      <c r="E775" s="388">
        <v>715</v>
      </c>
      <c r="F775" s="389">
        <v>855</v>
      </c>
      <c r="G775" s="389">
        <v>1158</v>
      </c>
      <c r="H775" s="389">
        <v>1130</v>
      </c>
      <c r="I775" s="389">
        <v>1107</v>
      </c>
      <c r="J775" s="389">
        <v>910</v>
      </c>
      <c r="K775" s="389">
        <v>1016</v>
      </c>
      <c r="L775" s="389">
        <v>844</v>
      </c>
      <c r="M775" s="389">
        <f>748</f>
        <v>748</v>
      </c>
      <c r="N775" s="389">
        <v>904</v>
      </c>
      <c r="O775" s="389">
        <v>864</v>
      </c>
      <c r="P775" s="392">
        <v>1332</v>
      </c>
    </row>
    <row r="776" spans="2:16" ht="15" customHeight="1">
      <c r="B776" s="379"/>
      <c r="C776" s="387" t="s">
        <v>241</v>
      </c>
      <c r="D776" s="381">
        <f>SUM(E776:P776)</f>
        <v>65504</v>
      </c>
      <c r="E776" s="388">
        <f>3638+839+107</f>
        <v>4584</v>
      </c>
      <c r="F776" s="389">
        <f>4635+843+181</f>
        <v>5659</v>
      </c>
      <c r="G776" s="389">
        <f>5963+993+166</f>
        <v>7122</v>
      </c>
      <c r="H776" s="389">
        <f>5240+940+181</f>
        <v>6361</v>
      </c>
      <c r="I776" s="389">
        <f>5185+872+248</f>
        <v>6305</v>
      </c>
      <c r="J776" s="389">
        <f>4224+758+230</f>
        <v>5212</v>
      </c>
      <c r="K776" s="389">
        <v>4737</v>
      </c>
      <c r="L776" s="389">
        <v>3996</v>
      </c>
      <c r="M776" s="389">
        <f>5292</f>
        <v>5292</v>
      </c>
      <c r="N776" s="389">
        <v>6403</v>
      </c>
      <c r="O776" s="389">
        <v>6378</v>
      </c>
      <c r="P776" s="392">
        <v>3455</v>
      </c>
    </row>
    <row r="777" spans="2:16" ht="15" customHeight="1">
      <c r="B777" s="379"/>
      <c r="C777" s="387" t="s">
        <v>242</v>
      </c>
      <c r="D777" s="381">
        <f t="shared" si="209"/>
        <v>0</v>
      </c>
      <c r="E777" s="388">
        <v>0</v>
      </c>
      <c r="F777" s="389">
        <v>0</v>
      </c>
      <c r="G777" s="389">
        <v>0</v>
      </c>
      <c r="H777" s="389">
        <v>0</v>
      </c>
      <c r="I777" s="389">
        <v>0</v>
      </c>
      <c r="J777" s="389">
        <v>0</v>
      </c>
      <c r="K777" s="389"/>
      <c r="L777" s="389"/>
      <c r="M777" s="389"/>
      <c r="N777" s="389"/>
      <c r="O777" s="389"/>
      <c r="P777" s="392"/>
    </row>
    <row r="778" spans="2:16" ht="15" customHeight="1">
      <c r="B778" s="379"/>
      <c r="C778" s="387" t="s">
        <v>243</v>
      </c>
      <c r="D778" s="381">
        <f t="shared" si="209"/>
        <v>0</v>
      </c>
      <c r="E778" s="388">
        <v>0</v>
      </c>
      <c r="F778" s="389">
        <v>0</v>
      </c>
      <c r="G778" s="389">
        <v>0</v>
      </c>
      <c r="H778" s="389">
        <v>0</v>
      </c>
      <c r="I778" s="389">
        <v>0</v>
      </c>
      <c r="J778" s="389">
        <v>0</v>
      </c>
      <c r="K778" s="389"/>
      <c r="L778" s="389"/>
      <c r="M778" s="389"/>
      <c r="N778" s="389"/>
      <c r="O778" s="389"/>
      <c r="P778" s="392"/>
    </row>
    <row r="779" spans="2:16" ht="15" customHeight="1">
      <c r="B779" s="379"/>
      <c r="C779" s="387" t="s">
        <v>244</v>
      </c>
      <c r="D779" s="381">
        <f t="shared" si="209"/>
        <v>2623</v>
      </c>
      <c r="E779" s="388">
        <v>257</v>
      </c>
      <c r="F779" s="389">
        <v>325</v>
      </c>
      <c r="G779" s="389">
        <v>334</v>
      </c>
      <c r="H779" s="389">
        <v>295</v>
      </c>
      <c r="I779" s="389">
        <v>289</v>
      </c>
      <c r="J779" s="389">
        <v>221</v>
      </c>
      <c r="K779" s="389">
        <v>185</v>
      </c>
      <c r="L779" s="389">
        <v>151</v>
      </c>
      <c r="M779" s="389">
        <v>155</v>
      </c>
      <c r="N779" s="389">
        <v>234</v>
      </c>
      <c r="O779" s="389">
        <v>98</v>
      </c>
      <c r="P779" s="392">
        <v>79</v>
      </c>
    </row>
    <row r="780" spans="2:16" ht="15" customHeight="1">
      <c r="B780" s="379"/>
      <c r="C780" s="387" t="s">
        <v>245</v>
      </c>
      <c r="D780" s="381">
        <f t="shared" si="209"/>
        <v>744</v>
      </c>
      <c r="E780" s="388">
        <v>186</v>
      </c>
      <c r="F780" s="389">
        <v>232</v>
      </c>
      <c r="G780" s="389">
        <v>252</v>
      </c>
      <c r="H780" s="389">
        <v>68</v>
      </c>
      <c r="I780" s="389">
        <v>6</v>
      </c>
      <c r="J780" s="389"/>
      <c r="K780" s="389"/>
      <c r="L780" s="389"/>
      <c r="M780" s="389"/>
      <c r="N780" s="389">
        <v>0</v>
      </c>
      <c r="O780" s="389">
        <v>0</v>
      </c>
      <c r="P780" s="392">
        <v>0</v>
      </c>
    </row>
    <row r="781" spans="2:16" ht="15" customHeight="1">
      <c r="B781" s="379"/>
      <c r="C781" s="387" t="s">
        <v>246</v>
      </c>
      <c r="D781" s="381">
        <f t="shared" si="209"/>
        <v>1041</v>
      </c>
      <c r="E781" s="388">
        <v>36</v>
      </c>
      <c r="F781" s="389">
        <v>131</v>
      </c>
      <c r="G781" s="389">
        <v>160</v>
      </c>
      <c r="H781" s="389">
        <v>138</v>
      </c>
      <c r="I781" s="389">
        <v>111</v>
      </c>
      <c r="J781" s="389">
        <v>100</v>
      </c>
      <c r="K781" s="389">
        <v>96</v>
      </c>
      <c r="L781" s="389">
        <v>22</v>
      </c>
      <c r="M781" s="389">
        <v>143</v>
      </c>
      <c r="N781" s="389">
        <v>89</v>
      </c>
      <c r="O781" s="389">
        <v>0</v>
      </c>
      <c r="P781" s="392">
        <v>15</v>
      </c>
    </row>
    <row r="782" spans="2:16" ht="15" customHeight="1">
      <c r="B782" s="379"/>
      <c r="C782" s="399" t="s">
        <v>247</v>
      </c>
      <c r="D782" s="400">
        <f t="shared" si="209"/>
        <v>1640</v>
      </c>
      <c r="E782" s="401">
        <v>1</v>
      </c>
      <c r="F782" s="393">
        <v>1</v>
      </c>
      <c r="G782" s="393">
        <v>3</v>
      </c>
      <c r="H782" s="393">
        <v>95</v>
      </c>
      <c r="I782" s="393">
        <v>219</v>
      </c>
      <c r="J782" s="393">
        <v>128</v>
      </c>
      <c r="K782" s="393">
        <v>119</v>
      </c>
      <c r="L782" s="393">
        <v>39</v>
      </c>
      <c r="M782" s="393">
        <v>163</v>
      </c>
      <c r="N782" s="393">
        <v>96</v>
      </c>
      <c r="O782" s="393">
        <v>44</v>
      </c>
      <c r="P782" s="403">
        <v>732</v>
      </c>
    </row>
    <row r="783" spans="2:16" ht="15" customHeight="1">
      <c r="B783" s="379"/>
      <c r="C783" s="394" t="s">
        <v>248</v>
      </c>
      <c r="D783" s="395">
        <f t="shared" si="209"/>
        <v>83135</v>
      </c>
      <c r="E783" s="396">
        <f t="shared" ref="E783:K783" si="212">SUM(E775:E782)</f>
        <v>5779</v>
      </c>
      <c r="F783" s="397">
        <f t="shared" si="212"/>
        <v>7203</v>
      </c>
      <c r="G783" s="397">
        <f t="shared" si="212"/>
        <v>9029</v>
      </c>
      <c r="H783" s="397">
        <f t="shared" si="212"/>
        <v>8087</v>
      </c>
      <c r="I783" s="397">
        <f t="shared" si="212"/>
        <v>8037</v>
      </c>
      <c r="J783" s="397">
        <f t="shared" si="212"/>
        <v>6571</v>
      </c>
      <c r="K783" s="397">
        <f t="shared" si="212"/>
        <v>6153</v>
      </c>
      <c r="L783" s="397">
        <f>SUM(L775:L782)</f>
        <v>5052</v>
      </c>
      <c r="M783" s="397">
        <f>SUM(M775:M782)</f>
        <v>6501</v>
      </c>
      <c r="N783" s="397">
        <f>SUM(N775:N782)</f>
        <v>7726</v>
      </c>
      <c r="O783" s="397">
        <f>SUM(O775:O782)</f>
        <v>7384</v>
      </c>
      <c r="P783" s="397">
        <f>SUM(P775:P782)</f>
        <v>5613</v>
      </c>
    </row>
    <row r="784" spans="2:16" ht="15" customHeight="1" thickBot="1">
      <c r="B784" s="379"/>
      <c r="C784" s="404" t="s">
        <v>249</v>
      </c>
      <c r="D784" s="405">
        <f t="shared" si="209"/>
        <v>12323</v>
      </c>
      <c r="E784" s="406">
        <v>1219</v>
      </c>
      <c r="F784" s="407">
        <v>1251</v>
      </c>
      <c r="G784" s="407">
        <v>1324</v>
      </c>
      <c r="H784" s="407">
        <v>1140</v>
      </c>
      <c r="I784" s="407">
        <v>1048</v>
      </c>
      <c r="J784" s="407">
        <v>987</v>
      </c>
      <c r="K784" s="407">
        <v>986</v>
      </c>
      <c r="L784" s="407">
        <v>760</v>
      </c>
      <c r="M784" s="407">
        <v>865</v>
      </c>
      <c r="N784" s="407">
        <v>1021</v>
      </c>
      <c r="O784" s="407">
        <v>865</v>
      </c>
      <c r="P784" s="408">
        <v>857</v>
      </c>
    </row>
    <row r="785" spans="2:16" ht="15" customHeight="1" thickBot="1">
      <c r="B785" s="727" t="s">
        <v>250</v>
      </c>
      <c r="C785" s="728"/>
      <c r="D785" s="409">
        <f t="shared" si="209"/>
        <v>319795</v>
      </c>
      <c r="E785" s="410">
        <f t="shared" ref="E785:P785" si="213">E768+E774+E783+E784</f>
        <v>27966</v>
      </c>
      <c r="F785" s="411">
        <f t="shared" si="213"/>
        <v>28551</v>
      </c>
      <c r="G785" s="411">
        <f t="shared" si="213"/>
        <v>31823</v>
      </c>
      <c r="H785" s="411">
        <f t="shared" si="213"/>
        <v>33597</v>
      </c>
      <c r="I785" s="411">
        <f t="shared" si="213"/>
        <v>31394</v>
      </c>
      <c r="J785" s="411">
        <f t="shared" si="213"/>
        <v>26188</v>
      </c>
      <c r="K785" s="411">
        <f t="shared" si="213"/>
        <v>23513</v>
      </c>
      <c r="L785" s="411">
        <f t="shared" si="213"/>
        <v>16367</v>
      </c>
      <c r="M785" s="411">
        <f t="shared" si="213"/>
        <v>25308</v>
      </c>
      <c r="N785" s="411">
        <f t="shared" si="213"/>
        <v>27270</v>
      </c>
      <c r="O785" s="411">
        <f t="shared" si="213"/>
        <v>25589</v>
      </c>
      <c r="P785" s="411">
        <f t="shared" si="213"/>
        <v>22229</v>
      </c>
    </row>
    <row r="786" spans="2:16" ht="15" customHeight="1"/>
    <row r="787" spans="2:16" ht="15" customHeight="1"/>
    <row r="788" spans="2:16" ht="15" customHeight="1" thickBot="1">
      <c r="B788" s="18" t="s">
        <v>258</v>
      </c>
    </row>
    <row r="789" spans="2:16" ht="15" customHeight="1" thickBot="1">
      <c r="B789" s="729" t="s">
        <v>226</v>
      </c>
      <c r="C789" s="730"/>
      <c r="D789" s="348" t="s">
        <v>169</v>
      </c>
      <c r="E789" s="349" t="s">
        <v>180</v>
      </c>
      <c r="F789" s="350" t="s">
        <v>181</v>
      </c>
      <c r="G789" s="350" t="s">
        <v>182</v>
      </c>
      <c r="H789" s="350" t="s">
        <v>183</v>
      </c>
      <c r="I789" s="350" t="s">
        <v>184</v>
      </c>
      <c r="J789" s="350" t="s">
        <v>203</v>
      </c>
      <c r="K789" s="350" t="s">
        <v>186</v>
      </c>
      <c r="L789" s="350" t="s">
        <v>187</v>
      </c>
      <c r="M789" s="350" t="s">
        <v>188</v>
      </c>
      <c r="N789" s="350" t="s">
        <v>189</v>
      </c>
      <c r="O789" s="350" t="s">
        <v>190</v>
      </c>
      <c r="P789" s="351" t="s">
        <v>191</v>
      </c>
    </row>
    <row r="790" spans="2:16" ht="15" customHeight="1">
      <c r="B790" s="352"/>
      <c r="C790" s="353" t="s">
        <v>227</v>
      </c>
      <c r="D790" s="354">
        <f t="shared" ref="D790:D819" si="214">E790+F790+G790+H790+I790+J790+K790+L790+M790+N790+O790+P790</f>
        <v>12708</v>
      </c>
      <c r="E790" s="412">
        <v>1096</v>
      </c>
      <c r="F790" s="355">
        <v>1047</v>
      </c>
      <c r="G790" s="355">
        <v>1381</v>
      </c>
      <c r="H790" s="355">
        <v>1461</v>
      </c>
      <c r="I790" s="355">
        <v>1233</v>
      </c>
      <c r="J790" s="355">
        <v>907</v>
      </c>
      <c r="K790" s="355">
        <v>1023</v>
      </c>
      <c r="L790" s="355">
        <v>1002</v>
      </c>
      <c r="M790" s="355">
        <v>906</v>
      </c>
      <c r="N790" s="355">
        <v>1032</v>
      </c>
      <c r="O790" s="355">
        <v>862</v>
      </c>
      <c r="P790" s="356">
        <v>758</v>
      </c>
    </row>
    <row r="791" spans="2:16" ht="15" customHeight="1">
      <c r="B791" s="352"/>
      <c r="C791" s="357" t="s">
        <v>228</v>
      </c>
      <c r="D791" s="354">
        <f t="shared" si="214"/>
        <v>19801</v>
      </c>
      <c r="E791" s="413">
        <v>1606</v>
      </c>
      <c r="F791" s="358">
        <v>1578</v>
      </c>
      <c r="G791" s="358">
        <v>1824</v>
      </c>
      <c r="H791" s="358">
        <v>1899</v>
      </c>
      <c r="I791" s="358">
        <v>1722</v>
      </c>
      <c r="J791" s="358">
        <v>1349</v>
      </c>
      <c r="K791" s="358">
        <v>1012</v>
      </c>
      <c r="L791" s="358">
        <v>3139</v>
      </c>
      <c r="M791" s="358">
        <v>1801</v>
      </c>
      <c r="N791" s="358">
        <v>1234</v>
      </c>
      <c r="O791" s="358">
        <v>1472</v>
      </c>
      <c r="P791" s="359">
        <v>1165</v>
      </c>
    </row>
    <row r="792" spans="2:16" ht="15" customHeight="1">
      <c r="B792" s="352"/>
      <c r="C792" s="357" t="s">
        <v>230</v>
      </c>
      <c r="D792" s="354">
        <f t="shared" si="214"/>
        <v>28037</v>
      </c>
      <c r="E792" s="413">
        <v>2162</v>
      </c>
      <c r="F792" s="358">
        <v>2053</v>
      </c>
      <c r="G792" s="358">
        <v>2469</v>
      </c>
      <c r="H792" s="358">
        <v>2479</v>
      </c>
      <c r="I792" s="358">
        <v>2222</v>
      </c>
      <c r="J792" s="358">
        <v>2389</v>
      </c>
      <c r="K792" s="358">
        <v>2494</v>
      </c>
      <c r="L792" s="358">
        <v>3178</v>
      </c>
      <c r="M792" s="358">
        <v>1844</v>
      </c>
      <c r="N792" s="358">
        <v>2197</v>
      </c>
      <c r="O792" s="358">
        <v>2426</v>
      </c>
      <c r="P792" s="359">
        <v>2124</v>
      </c>
    </row>
    <row r="793" spans="2:16" ht="15" customHeight="1">
      <c r="B793" s="352"/>
      <c r="C793" s="357" t="s">
        <v>231</v>
      </c>
      <c r="D793" s="354">
        <f t="shared" si="214"/>
        <v>10155</v>
      </c>
      <c r="E793" s="413">
        <v>786</v>
      </c>
      <c r="F793" s="358">
        <v>770</v>
      </c>
      <c r="G793" s="358">
        <v>918</v>
      </c>
      <c r="H793" s="358">
        <v>973</v>
      </c>
      <c r="I793" s="358">
        <v>954</v>
      </c>
      <c r="J793" s="358">
        <v>914</v>
      </c>
      <c r="K793" s="358">
        <v>1054</v>
      </c>
      <c r="L793" s="358">
        <v>1157</v>
      </c>
      <c r="M793" s="358">
        <v>689</v>
      </c>
      <c r="N793" s="358">
        <v>629</v>
      </c>
      <c r="O793" s="358">
        <v>726</v>
      </c>
      <c r="P793" s="359">
        <v>585</v>
      </c>
    </row>
    <row r="794" spans="2:16" ht="15" customHeight="1">
      <c r="B794" s="352"/>
      <c r="C794" s="357" t="s">
        <v>232</v>
      </c>
      <c r="D794" s="354">
        <f t="shared" si="214"/>
        <v>33638</v>
      </c>
      <c r="E794" s="413">
        <v>3656</v>
      </c>
      <c r="F794" s="358">
        <v>4169</v>
      </c>
      <c r="G794" s="358">
        <v>3837</v>
      </c>
      <c r="H794" s="358">
        <v>3518</v>
      </c>
      <c r="I794" s="358">
        <v>3980</v>
      </c>
      <c r="J794" s="358">
        <v>4566</v>
      </c>
      <c r="K794" s="358">
        <v>1661</v>
      </c>
      <c r="L794" s="358">
        <v>1714</v>
      </c>
      <c r="M794" s="358">
        <v>1556</v>
      </c>
      <c r="N794" s="358">
        <v>1872</v>
      </c>
      <c r="O794" s="358">
        <v>1628</v>
      </c>
      <c r="P794" s="359">
        <v>1481</v>
      </c>
    </row>
    <row r="795" spans="2:16" ht="15" customHeight="1">
      <c r="B795" s="352"/>
      <c r="C795" s="357" t="s">
        <v>233</v>
      </c>
      <c r="D795" s="354">
        <f t="shared" si="214"/>
        <v>13917</v>
      </c>
      <c r="E795" s="413"/>
      <c r="F795" s="358"/>
      <c r="G795" s="358"/>
      <c r="H795" s="358"/>
      <c r="I795" s="358"/>
      <c r="J795" s="358"/>
      <c r="K795" s="358">
        <v>2177</v>
      </c>
      <c r="L795" s="358">
        <v>3471</v>
      </c>
      <c r="M795" s="358">
        <v>1923</v>
      </c>
      <c r="N795" s="358">
        <v>2260</v>
      </c>
      <c r="O795" s="358">
        <v>2127</v>
      </c>
      <c r="P795" s="359">
        <v>1959</v>
      </c>
    </row>
    <row r="796" spans="2:16" ht="15" customHeight="1">
      <c r="B796" s="352"/>
      <c r="C796" s="357" t="s">
        <v>251</v>
      </c>
      <c r="D796" s="354">
        <f t="shared" si="214"/>
        <v>1</v>
      </c>
      <c r="E796" s="413">
        <v>1</v>
      </c>
      <c r="F796" s="358"/>
      <c r="G796" s="358"/>
      <c r="H796" s="358"/>
      <c r="I796" s="358"/>
      <c r="J796" s="358"/>
      <c r="K796" s="358"/>
      <c r="L796" s="358"/>
      <c r="M796" s="358"/>
      <c r="N796" s="358"/>
      <c r="O796" s="358"/>
      <c r="P796" s="359"/>
    </row>
    <row r="797" spans="2:16" ht="15" customHeight="1">
      <c r="B797" s="352"/>
      <c r="C797" s="357" t="s">
        <v>252</v>
      </c>
      <c r="D797" s="354">
        <f t="shared" si="214"/>
        <v>2970</v>
      </c>
      <c r="E797" s="413">
        <v>278</v>
      </c>
      <c r="F797" s="358">
        <v>224</v>
      </c>
      <c r="G797" s="358">
        <v>293</v>
      </c>
      <c r="H797" s="358">
        <v>372</v>
      </c>
      <c r="I797" s="358">
        <v>298</v>
      </c>
      <c r="J797" s="358">
        <v>246</v>
      </c>
      <c r="K797" s="358">
        <v>325</v>
      </c>
      <c r="L797" s="358">
        <v>433</v>
      </c>
      <c r="M797" s="358">
        <v>212</v>
      </c>
      <c r="N797" s="358">
        <v>161</v>
      </c>
      <c r="O797" s="358">
        <v>79</v>
      </c>
      <c r="P797" s="359">
        <v>49</v>
      </c>
    </row>
    <row r="798" spans="2:16" ht="15" customHeight="1">
      <c r="B798" s="352"/>
      <c r="C798" s="361" t="s">
        <v>234</v>
      </c>
      <c r="D798" s="362">
        <f t="shared" si="214"/>
        <v>121227</v>
      </c>
      <c r="E798" s="414">
        <f t="shared" ref="E798:P798" si="215">SUM(E790:E797)</f>
        <v>9585</v>
      </c>
      <c r="F798" s="363">
        <f t="shared" si="215"/>
        <v>9841</v>
      </c>
      <c r="G798" s="363">
        <f t="shared" si="215"/>
        <v>10722</v>
      </c>
      <c r="H798" s="363">
        <f t="shared" si="215"/>
        <v>10702</v>
      </c>
      <c r="I798" s="363">
        <f t="shared" si="215"/>
        <v>10409</v>
      </c>
      <c r="J798" s="363">
        <f t="shared" si="215"/>
        <v>10371</v>
      </c>
      <c r="K798" s="363">
        <f t="shared" si="215"/>
        <v>9746</v>
      </c>
      <c r="L798" s="363">
        <f t="shared" si="215"/>
        <v>14094</v>
      </c>
      <c r="M798" s="363">
        <f t="shared" si="215"/>
        <v>8931</v>
      </c>
      <c r="N798" s="363">
        <f t="shared" si="215"/>
        <v>9385</v>
      </c>
      <c r="O798" s="363">
        <f t="shared" si="215"/>
        <v>9320</v>
      </c>
      <c r="P798" s="415">
        <f t="shared" si="215"/>
        <v>8121</v>
      </c>
    </row>
    <row r="799" spans="2:16" ht="15" customHeight="1">
      <c r="B799" s="352"/>
      <c r="C799" s="357" t="s">
        <v>236</v>
      </c>
      <c r="D799" s="354">
        <f t="shared" si="214"/>
        <v>64257</v>
      </c>
      <c r="E799" s="413">
        <v>5080</v>
      </c>
      <c r="F799" s="358">
        <v>6223</v>
      </c>
      <c r="G799" s="358">
        <v>6451</v>
      </c>
      <c r="H799" s="358">
        <v>6217</v>
      </c>
      <c r="I799" s="358">
        <v>6138</v>
      </c>
      <c r="J799" s="358">
        <v>5081</v>
      </c>
      <c r="K799" s="358">
        <v>2809</v>
      </c>
      <c r="L799" s="358">
        <v>5846</v>
      </c>
      <c r="M799" s="358">
        <v>5419</v>
      </c>
      <c r="N799" s="358">
        <v>5259</v>
      </c>
      <c r="O799" s="358">
        <v>5219</v>
      </c>
      <c r="P799" s="359">
        <v>4515</v>
      </c>
    </row>
    <row r="800" spans="2:16" ht="15" customHeight="1">
      <c r="B800" s="352"/>
      <c r="C800" s="357" t="s">
        <v>253</v>
      </c>
      <c r="D800" s="354">
        <f t="shared" si="214"/>
        <v>5433</v>
      </c>
      <c r="E800" s="413">
        <v>633</v>
      </c>
      <c r="F800" s="358">
        <v>476</v>
      </c>
      <c r="G800" s="358">
        <v>750</v>
      </c>
      <c r="H800" s="358">
        <v>705</v>
      </c>
      <c r="I800" s="358">
        <v>471</v>
      </c>
      <c r="J800" s="358">
        <v>463</v>
      </c>
      <c r="K800" s="358">
        <v>646</v>
      </c>
      <c r="L800" s="358">
        <v>634</v>
      </c>
      <c r="M800" s="358">
        <v>445</v>
      </c>
      <c r="N800" s="358">
        <v>121</v>
      </c>
      <c r="O800" s="358">
        <v>47</v>
      </c>
      <c r="P800" s="359">
        <v>42</v>
      </c>
    </row>
    <row r="801" spans="2:16" ht="15" customHeight="1">
      <c r="B801" s="352"/>
      <c r="C801" s="357" t="s">
        <v>237</v>
      </c>
      <c r="D801" s="354">
        <f t="shared" si="214"/>
        <v>58112</v>
      </c>
      <c r="E801" s="413">
        <v>5854</v>
      </c>
      <c r="F801" s="358">
        <v>2078</v>
      </c>
      <c r="G801" s="358">
        <v>2302</v>
      </c>
      <c r="H801" s="358">
        <v>5050</v>
      </c>
      <c r="I801" s="358">
        <v>7158</v>
      </c>
      <c r="J801" s="358">
        <v>4703</v>
      </c>
      <c r="K801" s="358">
        <v>2335</v>
      </c>
      <c r="L801" s="358">
        <v>5330</v>
      </c>
      <c r="M801" s="358">
        <v>4899</v>
      </c>
      <c r="N801" s="358">
        <v>5785</v>
      </c>
      <c r="O801" s="358">
        <v>6119</v>
      </c>
      <c r="P801" s="359">
        <v>6499</v>
      </c>
    </row>
    <row r="802" spans="2:16" ht="15" customHeight="1">
      <c r="B802" s="352"/>
      <c r="C802" s="357" t="s">
        <v>235</v>
      </c>
      <c r="D802" s="354">
        <f t="shared" si="214"/>
        <v>52949</v>
      </c>
      <c r="E802" s="413"/>
      <c r="F802" s="358"/>
      <c r="G802" s="358">
        <v>3086</v>
      </c>
      <c r="H802" s="358">
        <v>9162</v>
      </c>
      <c r="I802" s="358">
        <v>8524</v>
      </c>
      <c r="J802" s="358">
        <v>3728</v>
      </c>
      <c r="K802" s="358">
        <v>2437</v>
      </c>
      <c r="L802" s="358">
        <v>5666</v>
      </c>
      <c r="M802" s="358">
        <v>4211</v>
      </c>
      <c r="N802" s="358">
        <v>5511</v>
      </c>
      <c r="O802" s="358">
        <v>5404</v>
      </c>
      <c r="P802" s="359">
        <v>5220</v>
      </c>
    </row>
    <row r="803" spans="2:16" ht="15" customHeight="1">
      <c r="B803" s="352"/>
      <c r="C803" s="357" t="s">
        <v>73</v>
      </c>
      <c r="D803" s="354">
        <f t="shared" si="214"/>
        <v>1397</v>
      </c>
      <c r="E803" s="413">
        <v>252</v>
      </c>
      <c r="F803" s="358">
        <v>227</v>
      </c>
      <c r="G803" s="358">
        <v>213</v>
      </c>
      <c r="H803" s="358">
        <v>200</v>
      </c>
      <c r="I803" s="358">
        <v>156</v>
      </c>
      <c r="J803" s="358">
        <v>130</v>
      </c>
      <c r="K803" s="358">
        <v>121</v>
      </c>
      <c r="L803" s="358">
        <v>85</v>
      </c>
      <c r="M803" s="358">
        <v>8</v>
      </c>
      <c r="N803" s="358">
        <v>1</v>
      </c>
      <c r="O803" s="358"/>
      <c r="P803" s="359">
        <v>4</v>
      </c>
    </row>
    <row r="804" spans="2:16" ht="15" customHeight="1">
      <c r="B804" s="352"/>
      <c r="C804" s="364" t="s">
        <v>238</v>
      </c>
      <c r="D804" s="365">
        <f t="shared" si="214"/>
        <v>3116</v>
      </c>
      <c r="E804" s="416">
        <v>335</v>
      </c>
      <c r="F804" s="360">
        <v>286</v>
      </c>
      <c r="G804" s="360">
        <v>337</v>
      </c>
      <c r="H804" s="360">
        <v>311</v>
      </c>
      <c r="I804" s="360">
        <v>285</v>
      </c>
      <c r="J804" s="360">
        <v>337</v>
      </c>
      <c r="K804" s="358">
        <v>258</v>
      </c>
      <c r="L804" s="360">
        <v>258</v>
      </c>
      <c r="M804" s="360">
        <v>209</v>
      </c>
      <c r="N804" s="360">
        <v>236</v>
      </c>
      <c r="O804" s="360">
        <v>155</v>
      </c>
      <c r="P804" s="366">
        <v>109</v>
      </c>
    </row>
    <row r="805" spans="2:16" ht="15" customHeight="1">
      <c r="B805" s="352"/>
      <c r="C805" s="361" t="s">
        <v>239</v>
      </c>
      <c r="D805" s="362">
        <f t="shared" si="214"/>
        <v>185264</v>
      </c>
      <c r="E805" s="414">
        <f t="shared" ref="E805:P805" si="216">SUM(E799:E804)</f>
        <v>12154</v>
      </c>
      <c r="F805" s="363">
        <f t="shared" si="216"/>
        <v>9290</v>
      </c>
      <c r="G805" s="363">
        <f t="shared" si="216"/>
        <v>13139</v>
      </c>
      <c r="H805" s="363">
        <f t="shared" si="216"/>
        <v>21645</v>
      </c>
      <c r="I805" s="363">
        <f t="shared" si="216"/>
        <v>22732</v>
      </c>
      <c r="J805" s="363">
        <f t="shared" si="216"/>
        <v>14442</v>
      </c>
      <c r="K805" s="363">
        <f t="shared" si="216"/>
        <v>8606</v>
      </c>
      <c r="L805" s="363">
        <f t="shared" si="216"/>
        <v>17819</v>
      </c>
      <c r="M805" s="363">
        <f t="shared" si="216"/>
        <v>15191</v>
      </c>
      <c r="N805" s="363">
        <f t="shared" si="216"/>
        <v>16913</v>
      </c>
      <c r="O805" s="363">
        <f t="shared" si="216"/>
        <v>16944</v>
      </c>
      <c r="P805" s="415">
        <f t="shared" si="216"/>
        <v>16389</v>
      </c>
    </row>
    <row r="806" spans="2:16" ht="15" customHeight="1">
      <c r="B806" s="352"/>
      <c r="C806" s="417" t="s">
        <v>254</v>
      </c>
      <c r="D806" s="418">
        <f t="shared" si="214"/>
        <v>9572</v>
      </c>
      <c r="E806" s="419">
        <v>750</v>
      </c>
      <c r="F806" s="420">
        <v>701</v>
      </c>
      <c r="G806" s="420">
        <v>1089</v>
      </c>
      <c r="H806" s="420">
        <v>1028</v>
      </c>
      <c r="I806" s="420">
        <v>968</v>
      </c>
      <c r="J806" s="420">
        <v>746</v>
      </c>
      <c r="K806" s="358">
        <v>756</v>
      </c>
      <c r="L806" s="420">
        <v>782</v>
      </c>
      <c r="M806" s="420">
        <v>860</v>
      </c>
      <c r="N806" s="420">
        <v>947</v>
      </c>
      <c r="O806" s="420">
        <v>739</v>
      </c>
      <c r="P806" s="421">
        <v>206</v>
      </c>
    </row>
    <row r="807" spans="2:16" ht="15" customHeight="1">
      <c r="B807" s="352"/>
      <c r="C807" s="357" t="s">
        <v>240</v>
      </c>
      <c r="D807" s="354">
        <f t="shared" si="214"/>
        <v>13318</v>
      </c>
      <c r="E807" s="413">
        <v>1092</v>
      </c>
      <c r="F807" s="358">
        <v>1021</v>
      </c>
      <c r="G807" s="358">
        <v>1328</v>
      </c>
      <c r="H807" s="358">
        <v>1282</v>
      </c>
      <c r="I807" s="358">
        <v>1219</v>
      </c>
      <c r="J807" s="358">
        <v>1059</v>
      </c>
      <c r="K807" s="358">
        <v>1286</v>
      </c>
      <c r="L807" s="358">
        <v>1055</v>
      </c>
      <c r="M807" s="358">
        <v>911</v>
      </c>
      <c r="N807" s="358">
        <v>1103</v>
      </c>
      <c r="O807" s="358">
        <v>1045</v>
      </c>
      <c r="P807" s="359">
        <v>917</v>
      </c>
    </row>
    <row r="808" spans="2:16" ht="15" customHeight="1">
      <c r="B808" s="352"/>
      <c r="C808" s="357" t="s">
        <v>255</v>
      </c>
      <c r="D808" s="354">
        <f t="shared" si="214"/>
        <v>74262</v>
      </c>
      <c r="E808" s="413">
        <v>4971</v>
      </c>
      <c r="F808" s="358">
        <v>5420</v>
      </c>
      <c r="G808" s="358">
        <v>6596</v>
      </c>
      <c r="H808" s="358">
        <v>7096</v>
      </c>
      <c r="I808" s="358">
        <v>6453</v>
      </c>
      <c r="J808" s="358">
        <v>6092</v>
      </c>
      <c r="K808" s="358">
        <v>5777</v>
      </c>
      <c r="L808" s="358">
        <v>6398</v>
      </c>
      <c r="M808" s="358">
        <v>6141</v>
      </c>
      <c r="N808" s="358">
        <v>7272</v>
      </c>
      <c r="O808" s="358">
        <v>6681</v>
      </c>
      <c r="P808" s="359">
        <v>5365</v>
      </c>
    </row>
    <row r="809" spans="2:16" ht="15" customHeight="1">
      <c r="B809" s="352"/>
      <c r="C809" s="357" t="s">
        <v>242</v>
      </c>
      <c r="D809" s="354">
        <f t="shared" si="214"/>
        <v>11372</v>
      </c>
      <c r="E809" s="413">
        <v>864</v>
      </c>
      <c r="F809" s="358">
        <v>806</v>
      </c>
      <c r="G809" s="358">
        <v>1118</v>
      </c>
      <c r="H809" s="358">
        <v>951</v>
      </c>
      <c r="I809" s="358">
        <v>1141</v>
      </c>
      <c r="J809" s="358">
        <v>1083</v>
      </c>
      <c r="K809" s="358">
        <v>449</v>
      </c>
      <c r="L809" s="358">
        <v>898</v>
      </c>
      <c r="M809" s="358">
        <v>991</v>
      </c>
      <c r="N809" s="358">
        <v>1106</v>
      </c>
      <c r="O809" s="358">
        <v>1222</v>
      </c>
      <c r="P809" s="359">
        <v>743</v>
      </c>
    </row>
    <row r="810" spans="2:16" ht="15" customHeight="1">
      <c r="B810" s="352"/>
      <c r="C810" s="357" t="s">
        <v>256</v>
      </c>
      <c r="D810" s="354">
        <f t="shared" si="214"/>
        <v>798</v>
      </c>
      <c r="E810" s="413">
        <v>104</v>
      </c>
      <c r="F810" s="358">
        <v>127</v>
      </c>
      <c r="G810" s="358">
        <v>143</v>
      </c>
      <c r="H810" s="358">
        <v>89</v>
      </c>
      <c r="I810" s="358">
        <v>104</v>
      </c>
      <c r="J810" s="358">
        <v>75</v>
      </c>
      <c r="K810" s="358">
        <v>21</v>
      </c>
      <c r="L810" s="358">
        <v>78</v>
      </c>
      <c r="M810" s="358">
        <v>57</v>
      </c>
      <c r="N810" s="358"/>
      <c r="O810" s="358"/>
      <c r="P810" s="359"/>
    </row>
    <row r="811" spans="2:16" ht="15" customHeight="1">
      <c r="B811" s="352"/>
      <c r="C811" s="357" t="s">
        <v>257</v>
      </c>
      <c r="D811" s="354">
        <f t="shared" si="214"/>
        <v>174</v>
      </c>
      <c r="E811" s="413">
        <v>17</v>
      </c>
      <c r="F811" s="358">
        <v>19</v>
      </c>
      <c r="G811" s="358">
        <v>2</v>
      </c>
      <c r="H811" s="358">
        <v>27</v>
      </c>
      <c r="I811" s="358">
        <v>61</v>
      </c>
      <c r="J811" s="358">
        <v>20</v>
      </c>
      <c r="K811" s="358">
        <v>1</v>
      </c>
      <c r="L811" s="358">
        <v>19</v>
      </c>
      <c r="M811" s="358">
        <v>6</v>
      </c>
      <c r="N811" s="358">
        <v>2</v>
      </c>
      <c r="O811" s="358"/>
      <c r="P811" s="359"/>
    </row>
    <row r="812" spans="2:16" ht="15" customHeight="1">
      <c r="B812" s="352"/>
      <c r="C812" s="357" t="s">
        <v>246</v>
      </c>
      <c r="D812" s="354">
        <f t="shared" si="214"/>
        <v>1503</v>
      </c>
      <c r="E812" s="413">
        <v>103</v>
      </c>
      <c r="F812" s="358">
        <v>76</v>
      </c>
      <c r="G812" s="358">
        <v>168</v>
      </c>
      <c r="H812" s="358">
        <v>174</v>
      </c>
      <c r="I812" s="358">
        <v>194</v>
      </c>
      <c r="J812" s="358">
        <v>159</v>
      </c>
      <c r="K812" s="358">
        <v>130</v>
      </c>
      <c r="L812" s="358">
        <v>160</v>
      </c>
      <c r="M812" s="358">
        <v>134</v>
      </c>
      <c r="N812" s="358">
        <v>141</v>
      </c>
      <c r="O812" s="358">
        <v>41</v>
      </c>
      <c r="P812" s="359">
        <v>23</v>
      </c>
    </row>
    <row r="813" spans="2:16" ht="15" customHeight="1">
      <c r="B813" s="352"/>
      <c r="C813" s="357" t="s">
        <v>243</v>
      </c>
      <c r="D813" s="354">
        <f t="shared" si="214"/>
        <v>1591</v>
      </c>
      <c r="E813" s="413">
        <v>133</v>
      </c>
      <c r="F813" s="358">
        <v>159</v>
      </c>
      <c r="G813" s="358">
        <v>161</v>
      </c>
      <c r="H813" s="358">
        <v>137</v>
      </c>
      <c r="I813" s="358">
        <v>158</v>
      </c>
      <c r="J813" s="358">
        <v>122</v>
      </c>
      <c r="K813" s="358">
        <v>81</v>
      </c>
      <c r="L813" s="358">
        <v>108</v>
      </c>
      <c r="M813" s="358">
        <v>157</v>
      </c>
      <c r="N813" s="358">
        <v>127</v>
      </c>
      <c r="O813" s="358">
        <v>158</v>
      </c>
      <c r="P813" s="359">
        <v>90</v>
      </c>
    </row>
    <row r="814" spans="2:16" ht="15" customHeight="1">
      <c r="B814" s="352"/>
      <c r="C814" s="357" t="s">
        <v>244</v>
      </c>
      <c r="D814" s="354">
        <f t="shared" si="214"/>
        <v>3945</v>
      </c>
      <c r="E814" s="413">
        <v>243</v>
      </c>
      <c r="F814" s="358">
        <v>245</v>
      </c>
      <c r="G814" s="358">
        <v>291</v>
      </c>
      <c r="H814" s="358">
        <v>225</v>
      </c>
      <c r="I814" s="358">
        <v>442</v>
      </c>
      <c r="J814" s="358">
        <v>302</v>
      </c>
      <c r="K814" s="358">
        <v>326</v>
      </c>
      <c r="L814" s="358">
        <v>363</v>
      </c>
      <c r="M814" s="358">
        <v>353</v>
      </c>
      <c r="N814" s="358">
        <v>456</v>
      </c>
      <c r="O814" s="358">
        <v>411</v>
      </c>
      <c r="P814" s="359">
        <v>288</v>
      </c>
    </row>
    <row r="815" spans="2:16" ht="15" customHeight="1">
      <c r="B815" s="352"/>
      <c r="C815" s="357" t="s">
        <v>245</v>
      </c>
      <c r="D815" s="354">
        <f t="shared" si="214"/>
        <v>3404</v>
      </c>
      <c r="E815" s="413">
        <v>230</v>
      </c>
      <c r="F815" s="358">
        <v>265</v>
      </c>
      <c r="G815" s="358">
        <v>319</v>
      </c>
      <c r="H815" s="358">
        <v>328</v>
      </c>
      <c r="I815" s="358">
        <v>311</v>
      </c>
      <c r="J815" s="358">
        <v>271</v>
      </c>
      <c r="K815" s="358">
        <v>314</v>
      </c>
      <c r="L815" s="358">
        <v>296</v>
      </c>
      <c r="M815" s="358">
        <v>261</v>
      </c>
      <c r="N815" s="358">
        <v>348</v>
      </c>
      <c r="O815" s="358">
        <v>284</v>
      </c>
      <c r="P815" s="359">
        <v>177</v>
      </c>
    </row>
    <row r="816" spans="2:16" ht="15" customHeight="1">
      <c r="B816" s="352"/>
      <c r="C816" s="364" t="s">
        <v>247</v>
      </c>
      <c r="D816" s="365">
        <f t="shared" si="214"/>
        <v>1780</v>
      </c>
      <c r="E816" s="416"/>
      <c r="F816" s="360">
        <v>4</v>
      </c>
      <c r="G816" s="360">
        <v>16</v>
      </c>
      <c r="H816" s="360">
        <v>201</v>
      </c>
      <c r="I816" s="360">
        <v>200</v>
      </c>
      <c r="J816" s="360">
        <v>220</v>
      </c>
      <c r="K816" s="360">
        <v>148</v>
      </c>
      <c r="L816" s="360">
        <v>198</v>
      </c>
      <c r="M816" s="360">
        <v>137</v>
      </c>
      <c r="N816" s="360">
        <v>253</v>
      </c>
      <c r="O816" s="360">
        <v>119</v>
      </c>
      <c r="P816" s="366">
        <v>284</v>
      </c>
    </row>
    <row r="817" spans="2:16" ht="15" customHeight="1">
      <c r="B817" s="352"/>
      <c r="C817" s="361" t="s">
        <v>248</v>
      </c>
      <c r="D817" s="362">
        <f t="shared" si="214"/>
        <v>121719</v>
      </c>
      <c r="E817" s="414">
        <f t="shared" ref="E817:P817" si="217">SUM(E806:E816)</f>
        <v>8507</v>
      </c>
      <c r="F817" s="363">
        <f t="shared" si="217"/>
        <v>8843</v>
      </c>
      <c r="G817" s="363">
        <f t="shared" si="217"/>
        <v>11231</v>
      </c>
      <c r="H817" s="363">
        <f t="shared" si="217"/>
        <v>11538</v>
      </c>
      <c r="I817" s="363">
        <f t="shared" si="217"/>
        <v>11251</v>
      </c>
      <c r="J817" s="363">
        <f t="shared" si="217"/>
        <v>10149</v>
      </c>
      <c r="K817" s="363">
        <f t="shared" si="217"/>
        <v>9289</v>
      </c>
      <c r="L817" s="363">
        <f t="shared" si="217"/>
        <v>10355</v>
      </c>
      <c r="M817" s="363">
        <f t="shared" si="217"/>
        <v>10008</v>
      </c>
      <c r="N817" s="363">
        <f t="shared" si="217"/>
        <v>11755</v>
      </c>
      <c r="O817" s="363">
        <f t="shared" si="217"/>
        <v>10700</v>
      </c>
      <c r="P817" s="415">
        <f t="shared" si="217"/>
        <v>8093</v>
      </c>
    </row>
    <row r="818" spans="2:16" ht="15" customHeight="1" thickBot="1">
      <c r="B818" s="352"/>
      <c r="C818" s="367" t="s">
        <v>249</v>
      </c>
      <c r="D818" s="368">
        <f t="shared" si="214"/>
        <v>19688</v>
      </c>
      <c r="E818" s="422">
        <v>1614</v>
      </c>
      <c r="F818" s="369">
        <v>1582</v>
      </c>
      <c r="G818" s="369">
        <v>2018</v>
      </c>
      <c r="H818" s="369">
        <v>2070</v>
      </c>
      <c r="I818" s="369">
        <v>1803</v>
      </c>
      <c r="J818" s="369">
        <v>1266</v>
      </c>
      <c r="K818" s="369">
        <v>1269</v>
      </c>
      <c r="L818" s="369">
        <v>1848</v>
      </c>
      <c r="M818" s="369">
        <v>1484</v>
      </c>
      <c r="N818" s="369">
        <v>1714</v>
      </c>
      <c r="O818" s="369">
        <v>1613</v>
      </c>
      <c r="P818" s="370">
        <v>1407</v>
      </c>
    </row>
    <row r="819" spans="2:16" ht="15" customHeight="1" thickBot="1">
      <c r="B819" s="423" t="s">
        <v>250</v>
      </c>
      <c r="C819" s="372"/>
      <c r="D819" s="373">
        <f t="shared" si="214"/>
        <v>447898</v>
      </c>
      <c r="E819" s="424">
        <f t="shared" ref="E819:P819" si="218">E798+E805+E817+E818</f>
        <v>31860</v>
      </c>
      <c r="F819" s="374">
        <f t="shared" si="218"/>
        <v>29556</v>
      </c>
      <c r="G819" s="374">
        <f t="shared" si="218"/>
        <v>37110</v>
      </c>
      <c r="H819" s="374">
        <f t="shared" si="218"/>
        <v>45955</v>
      </c>
      <c r="I819" s="374">
        <f t="shared" si="218"/>
        <v>46195</v>
      </c>
      <c r="J819" s="374">
        <f t="shared" si="218"/>
        <v>36228</v>
      </c>
      <c r="K819" s="374">
        <f t="shared" si="218"/>
        <v>28910</v>
      </c>
      <c r="L819" s="374">
        <f t="shared" si="218"/>
        <v>44116</v>
      </c>
      <c r="M819" s="374">
        <f t="shared" si="218"/>
        <v>35614</v>
      </c>
      <c r="N819" s="374">
        <f t="shared" si="218"/>
        <v>39767</v>
      </c>
      <c r="O819" s="374">
        <f t="shared" si="218"/>
        <v>38577</v>
      </c>
      <c r="P819" s="425">
        <f t="shared" si="218"/>
        <v>34010</v>
      </c>
    </row>
    <row r="820" spans="2:16" ht="15" customHeight="1"/>
    <row r="821" spans="2:16" ht="15" customHeight="1"/>
    <row r="822" spans="2:16" ht="15" customHeight="1" thickBot="1">
      <c r="B822" s="18" t="s">
        <v>297</v>
      </c>
    </row>
    <row r="823" spans="2:16" ht="15" customHeight="1" thickBot="1">
      <c r="B823" s="703" t="s">
        <v>226</v>
      </c>
      <c r="C823" s="703"/>
      <c r="D823" s="426" t="s">
        <v>259</v>
      </c>
      <c r="E823" s="427" t="s">
        <v>260</v>
      </c>
      <c r="F823" s="428" t="s">
        <v>261</v>
      </c>
      <c r="G823" s="428" t="s">
        <v>262</v>
      </c>
      <c r="H823" s="428" t="s">
        <v>263</v>
      </c>
      <c r="I823" s="428" t="s">
        <v>264</v>
      </c>
      <c r="J823" s="428" t="s">
        <v>185</v>
      </c>
      <c r="K823" s="428" t="s">
        <v>265</v>
      </c>
      <c r="L823" s="428" t="s">
        <v>266</v>
      </c>
      <c r="M823" s="428" t="s">
        <v>267</v>
      </c>
      <c r="N823" s="428" t="s">
        <v>268</v>
      </c>
      <c r="O823" s="428" t="s">
        <v>269</v>
      </c>
      <c r="P823" s="429" t="s">
        <v>270</v>
      </c>
    </row>
    <row r="824" spans="2:16" ht="15" customHeight="1">
      <c r="B824" s="352"/>
      <c r="C824" s="353" t="s">
        <v>271</v>
      </c>
      <c r="D824" s="430">
        <f t="shared" ref="D824:D854" si="219">SUM(E824:P824)</f>
        <v>16482</v>
      </c>
      <c r="E824" s="431">
        <v>1214</v>
      </c>
      <c r="F824" s="432">
        <v>1564</v>
      </c>
      <c r="G824" s="432">
        <v>1924</v>
      </c>
      <c r="H824" s="432">
        <v>1658</v>
      </c>
      <c r="I824" s="432">
        <v>1658</v>
      </c>
      <c r="J824" s="432">
        <v>1487</v>
      </c>
      <c r="K824" s="432">
        <v>1493</v>
      </c>
      <c r="L824" s="432">
        <v>1262</v>
      </c>
      <c r="M824" s="432">
        <v>1116</v>
      </c>
      <c r="N824" s="432">
        <v>1045</v>
      </c>
      <c r="O824" s="432">
        <v>995</v>
      </c>
      <c r="P824" s="433">
        <v>1066</v>
      </c>
    </row>
    <row r="825" spans="2:16" ht="15" customHeight="1">
      <c r="B825" s="352"/>
      <c r="C825" s="357" t="s">
        <v>272</v>
      </c>
      <c r="D825" s="430">
        <f t="shared" si="219"/>
        <v>18636</v>
      </c>
      <c r="E825" s="431">
        <v>1202</v>
      </c>
      <c r="F825" s="432">
        <v>1197</v>
      </c>
      <c r="G825" s="432">
        <v>1417</v>
      </c>
      <c r="H825" s="432">
        <v>1752</v>
      </c>
      <c r="I825" s="432">
        <v>1702</v>
      </c>
      <c r="J825" s="432">
        <v>1525</v>
      </c>
      <c r="K825" s="432">
        <v>1576</v>
      </c>
      <c r="L825" s="432">
        <v>1539</v>
      </c>
      <c r="M825" s="432">
        <v>1949</v>
      </c>
      <c r="N825" s="432">
        <v>1777</v>
      </c>
      <c r="O825" s="432">
        <v>1252</v>
      </c>
      <c r="P825" s="433">
        <v>1748</v>
      </c>
    </row>
    <row r="826" spans="2:16" ht="15" customHeight="1">
      <c r="B826" s="352"/>
      <c r="C826" s="357" t="s">
        <v>230</v>
      </c>
      <c r="D826" s="430">
        <f t="shared" si="219"/>
        <v>30408</v>
      </c>
      <c r="E826" s="431">
        <v>2498</v>
      </c>
      <c r="F826" s="432">
        <v>2253</v>
      </c>
      <c r="G826" s="432">
        <v>2425</v>
      </c>
      <c r="H826" s="432">
        <v>2535</v>
      </c>
      <c r="I826" s="432">
        <v>2558</v>
      </c>
      <c r="J826" s="432">
        <v>2525</v>
      </c>
      <c r="K826" s="432">
        <v>2749</v>
      </c>
      <c r="L826" s="432">
        <v>2828</v>
      </c>
      <c r="M826" s="432">
        <v>2590</v>
      </c>
      <c r="N826" s="432">
        <v>2622</v>
      </c>
      <c r="O826" s="432">
        <v>2591</v>
      </c>
      <c r="P826" s="433">
        <v>2234</v>
      </c>
    </row>
    <row r="827" spans="2:16" ht="15" customHeight="1">
      <c r="B827" s="352"/>
      <c r="C827" s="357" t="s">
        <v>273</v>
      </c>
      <c r="D827" s="430">
        <f t="shared" si="219"/>
        <v>11265</v>
      </c>
      <c r="E827" s="431">
        <v>1017</v>
      </c>
      <c r="F827" s="432">
        <v>876</v>
      </c>
      <c r="G827" s="432">
        <v>943</v>
      </c>
      <c r="H827" s="432">
        <v>975</v>
      </c>
      <c r="I827" s="432">
        <v>958</v>
      </c>
      <c r="J827" s="432">
        <v>908</v>
      </c>
      <c r="K827" s="432">
        <v>991</v>
      </c>
      <c r="L827" s="432">
        <v>961</v>
      </c>
      <c r="M827" s="432">
        <v>868</v>
      </c>
      <c r="N827" s="432">
        <v>850</v>
      </c>
      <c r="O827" s="432">
        <v>1022</v>
      </c>
      <c r="P827" s="433">
        <v>896</v>
      </c>
    </row>
    <row r="828" spans="2:16" ht="15" customHeight="1">
      <c r="B828" s="352"/>
      <c r="C828" s="357" t="s">
        <v>274</v>
      </c>
      <c r="D828" s="430">
        <f t="shared" si="219"/>
        <v>52683</v>
      </c>
      <c r="E828" s="431">
        <v>5102</v>
      </c>
      <c r="F828" s="432">
        <v>4740</v>
      </c>
      <c r="G828" s="432">
        <v>4493</v>
      </c>
      <c r="H828" s="432">
        <v>4783</v>
      </c>
      <c r="I828" s="432">
        <v>5046</v>
      </c>
      <c r="J828" s="432">
        <v>4464</v>
      </c>
      <c r="K828" s="432">
        <v>4394</v>
      </c>
      <c r="L828" s="432">
        <v>4060</v>
      </c>
      <c r="M828" s="432">
        <v>4030</v>
      </c>
      <c r="N828" s="432">
        <v>3956</v>
      </c>
      <c r="O828" s="432">
        <v>3895</v>
      </c>
      <c r="P828" s="433">
        <v>3720</v>
      </c>
    </row>
    <row r="829" spans="2:16" ht="15" customHeight="1">
      <c r="B829" s="352"/>
      <c r="C829" s="357" t="s">
        <v>275</v>
      </c>
      <c r="D829" s="430">
        <f t="shared" si="219"/>
        <v>1405</v>
      </c>
      <c r="E829" s="431">
        <v>132</v>
      </c>
      <c r="F829" s="432">
        <v>165</v>
      </c>
      <c r="G829" s="432">
        <v>130</v>
      </c>
      <c r="H829" s="432">
        <v>128</v>
      </c>
      <c r="I829" s="432">
        <v>123</v>
      </c>
      <c r="J829" s="432">
        <v>99</v>
      </c>
      <c r="K829" s="432">
        <v>127</v>
      </c>
      <c r="L829" s="432">
        <v>153</v>
      </c>
      <c r="M829" s="432">
        <v>101</v>
      </c>
      <c r="N829" s="432">
        <v>116</v>
      </c>
      <c r="O829" s="432">
        <v>94</v>
      </c>
      <c r="P829" s="433">
        <v>37</v>
      </c>
    </row>
    <row r="830" spans="2:16" ht="15" customHeight="1">
      <c r="B830" s="352"/>
      <c r="C830" s="364" t="s">
        <v>252</v>
      </c>
      <c r="D830" s="430">
        <f t="shared" si="219"/>
        <v>2699</v>
      </c>
      <c r="E830" s="434">
        <v>140</v>
      </c>
      <c r="F830" s="435">
        <v>157</v>
      </c>
      <c r="G830" s="435">
        <v>165</v>
      </c>
      <c r="H830" s="435">
        <v>174</v>
      </c>
      <c r="I830" s="435">
        <v>195</v>
      </c>
      <c r="J830" s="435">
        <v>277</v>
      </c>
      <c r="K830" s="432">
        <v>322</v>
      </c>
      <c r="L830" s="435">
        <v>305</v>
      </c>
      <c r="M830" s="435">
        <v>283</v>
      </c>
      <c r="N830" s="435">
        <v>205</v>
      </c>
      <c r="O830" s="435">
        <v>179</v>
      </c>
      <c r="P830" s="436">
        <v>297</v>
      </c>
    </row>
    <row r="831" spans="2:16" ht="15" customHeight="1">
      <c r="B831" s="437"/>
      <c r="C831" s="361" t="s">
        <v>234</v>
      </c>
      <c r="D831" s="438">
        <f t="shared" si="219"/>
        <v>133578</v>
      </c>
      <c r="E831" s="439">
        <f>SUM(E824:E830)</f>
        <v>11305</v>
      </c>
      <c r="F831" s="440">
        <f t="shared" ref="F831:P831" si="220">SUM(F824:F830)</f>
        <v>10952</v>
      </c>
      <c r="G831" s="440">
        <f t="shared" si="220"/>
        <v>11497</v>
      </c>
      <c r="H831" s="440">
        <f t="shared" si="220"/>
        <v>12005</v>
      </c>
      <c r="I831" s="440">
        <f t="shared" si="220"/>
        <v>12240</v>
      </c>
      <c r="J831" s="440">
        <f t="shared" si="220"/>
        <v>11285</v>
      </c>
      <c r="K831" s="441">
        <f t="shared" si="220"/>
        <v>11652</v>
      </c>
      <c r="L831" s="440">
        <f t="shared" si="220"/>
        <v>11108</v>
      </c>
      <c r="M831" s="440">
        <f t="shared" si="220"/>
        <v>10937</v>
      </c>
      <c r="N831" s="440">
        <f t="shared" si="220"/>
        <v>10571</v>
      </c>
      <c r="O831" s="440">
        <f t="shared" si="220"/>
        <v>10028</v>
      </c>
      <c r="P831" s="442">
        <f t="shared" si="220"/>
        <v>9998</v>
      </c>
    </row>
    <row r="832" spans="2:16" ht="15" customHeight="1">
      <c r="B832" s="352"/>
      <c r="C832" s="417" t="s">
        <v>73</v>
      </c>
      <c r="D832" s="430">
        <f t="shared" si="219"/>
        <v>2916</v>
      </c>
      <c r="E832" s="431">
        <v>193</v>
      </c>
      <c r="F832" s="432">
        <v>252</v>
      </c>
      <c r="G832" s="432">
        <v>255</v>
      </c>
      <c r="H832" s="432">
        <v>273</v>
      </c>
      <c r="I832" s="432">
        <v>229</v>
      </c>
      <c r="J832" s="432">
        <v>256</v>
      </c>
      <c r="K832" s="432">
        <v>241</v>
      </c>
      <c r="L832" s="432">
        <v>270</v>
      </c>
      <c r="M832" s="432">
        <v>255</v>
      </c>
      <c r="N832" s="432">
        <v>186</v>
      </c>
      <c r="O832" s="432">
        <v>226</v>
      </c>
      <c r="P832" s="433">
        <v>280</v>
      </c>
    </row>
    <row r="833" spans="2:16" ht="15" customHeight="1">
      <c r="B833" s="352"/>
      <c r="C833" s="357" t="s">
        <v>30</v>
      </c>
      <c r="D833" s="430">
        <f t="shared" si="219"/>
        <v>72418</v>
      </c>
      <c r="E833" s="431">
        <v>2374</v>
      </c>
      <c r="F833" s="432">
        <v>3717</v>
      </c>
      <c r="G833" s="432">
        <v>6797</v>
      </c>
      <c r="H833" s="432">
        <v>7200</v>
      </c>
      <c r="I833" s="432">
        <v>7305</v>
      </c>
      <c r="J833" s="432">
        <v>6776</v>
      </c>
      <c r="K833" s="432">
        <v>5428</v>
      </c>
      <c r="L833" s="432">
        <v>6310</v>
      </c>
      <c r="M833" s="432">
        <v>7205</v>
      </c>
      <c r="N833" s="432">
        <v>7062</v>
      </c>
      <c r="O833" s="432">
        <v>5686</v>
      </c>
      <c r="P833" s="433">
        <v>6558</v>
      </c>
    </row>
    <row r="834" spans="2:16" ht="15" customHeight="1">
      <c r="B834" s="352"/>
      <c r="C834" s="357" t="s">
        <v>276</v>
      </c>
      <c r="D834" s="430">
        <f t="shared" si="219"/>
        <v>5414</v>
      </c>
      <c r="E834" s="431">
        <v>583</v>
      </c>
      <c r="F834" s="432">
        <v>505</v>
      </c>
      <c r="G834" s="432">
        <v>484</v>
      </c>
      <c r="H834" s="432">
        <v>468</v>
      </c>
      <c r="I834" s="432">
        <v>400</v>
      </c>
      <c r="J834" s="432">
        <v>365</v>
      </c>
      <c r="K834" s="432">
        <v>534</v>
      </c>
      <c r="L834" s="432">
        <v>413</v>
      </c>
      <c r="M834" s="432">
        <v>540</v>
      </c>
      <c r="N834" s="432">
        <v>447</v>
      </c>
      <c r="O834" s="432">
        <v>353</v>
      </c>
      <c r="P834" s="433">
        <v>322</v>
      </c>
    </row>
    <row r="835" spans="2:16" ht="15" customHeight="1">
      <c r="B835" s="352"/>
      <c r="C835" s="357" t="s">
        <v>29</v>
      </c>
      <c r="D835" s="430">
        <f t="shared" si="219"/>
        <v>49455</v>
      </c>
      <c r="E835" s="431">
        <v>3182</v>
      </c>
      <c r="F835" s="432">
        <v>2464</v>
      </c>
      <c r="G835" s="432">
        <v>2309</v>
      </c>
      <c r="H835" s="432">
        <v>3015</v>
      </c>
      <c r="I835" s="432">
        <v>4127</v>
      </c>
      <c r="J835" s="432">
        <v>4964</v>
      </c>
      <c r="K835" s="432">
        <v>4428</v>
      </c>
      <c r="L835" s="432">
        <v>4524</v>
      </c>
      <c r="M835" s="432">
        <v>4837</v>
      </c>
      <c r="N835" s="432">
        <v>4714</v>
      </c>
      <c r="O835" s="432">
        <v>5728</v>
      </c>
      <c r="P835" s="433">
        <v>5163</v>
      </c>
    </row>
    <row r="836" spans="2:16" ht="15" customHeight="1">
      <c r="B836" s="352"/>
      <c r="C836" s="364" t="s">
        <v>277</v>
      </c>
      <c r="D836" s="430">
        <f t="shared" si="219"/>
        <v>9386</v>
      </c>
      <c r="E836" s="431">
        <v>1136</v>
      </c>
      <c r="F836" s="432">
        <v>591</v>
      </c>
      <c r="G836" s="432">
        <v>615</v>
      </c>
      <c r="H836" s="432">
        <v>720</v>
      </c>
      <c r="I836" s="432">
        <v>726</v>
      </c>
      <c r="J836" s="432">
        <v>926</v>
      </c>
      <c r="K836" s="432">
        <v>977</v>
      </c>
      <c r="L836" s="432">
        <v>889</v>
      </c>
      <c r="M836" s="432">
        <v>791</v>
      </c>
      <c r="N836" s="432">
        <v>709</v>
      </c>
      <c r="O836" s="432">
        <v>615</v>
      </c>
      <c r="P836" s="433">
        <v>691</v>
      </c>
    </row>
    <row r="837" spans="2:16" ht="15" customHeight="1">
      <c r="B837" s="437"/>
      <c r="C837" s="361" t="s">
        <v>239</v>
      </c>
      <c r="D837" s="443">
        <f t="shared" si="219"/>
        <v>139589</v>
      </c>
      <c r="E837" s="444">
        <f>SUM(E832:E836)</f>
        <v>7468</v>
      </c>
      <c r="F837" s="441">
        <f t="shared" ref="F837:P837" si="221">SUM(F832:F836)</f>
        <v>7529</v>
      </c>
      <c r="G837" s="441">
        <f t="shared" si="221"/>
        <v>10460</v>
      </c>
      <c r="H837" s="441">
        <f t="shared" si="221"/>
        <v>11676</v>
      </c>
      <c r="I837" s="441">
        <f t="shared" si="221"/>
        <v>12787</v>
      </c>
      <c r="J837" s="441">
        <f t="shared" si="221"/>
        <v>13287</v>
      </c>
      <c r="K837" s="441">
        <f t="shared" si="221"/>
        <v>11608</v>
      </c>
      <c r="L837" s="441">
        <f t="shared" si="221"/>
        <v>12406</v>
      </c>
      <c r="M837" s="441">
        <f t="shared" si="221"/>
        <v>13628</v>
      </c>
      <c r="N837" s="441">
        <f t="shared" si="221"/>
        <v>13118</v>
      </c>
      <c r="O837" s="441">
        <f t="shared" si="221"/>
        <v>12608</v>
      </c>
      <c r="P837" s="445">
        <f t="shared" si="221"/>
        <v>13014</v>
      </c>
    </row>
    <row r="838" spans="2:16" ht="15" customHeight="1">
      <c r="B838" s="352"/>
      <c r="C838" s="417" t="s">
        <v>278</v>
      </c>
      <c r="D838" s="430">
        <f t="shared" si="219"/>
        <v>12139</v>
      </c>
      <c r="E838" s="431">
        <v>867</v>
      </c>
      <c r="F838" s="432">
        <f>826+184</f>
        <v>1010</v>
      </c>
      <c r="G838" s="432">
        <f>1070+198</f>
        <v>1268</v>
      </c>
      <c r="H838" s="432">
        <f>1057+237</f>
        <v>1294</v>
      </c>
      <c r="I838" s="432">
        <f>947+240</f>
        <v>1187</v>
      </c>
      <c r="J838" s="432">
        <f>823+243</f>
        <v>1066</v>
      </c>
      <c r="K838" s="432">
        <v>958</v>
      </c>
      <c r="L838" s="432">
        <v>977</v>
      </c>
      <c r="M838" s="432">
        <v>866</v>
      </c>
      <c r="N838" s="432">
        <v>965</v>
      </c>
      <c r="O838" s="432">
        <v>1007</v>
      </c>
      <c r="P838" s="433">
        <v>674</v>
      </c>
    </row>
    <row r="839" spans="2:16" ht="15" customHeight="1">
      <c r="B839" s="352"/>
      <c r="C839" s="357" t="s">
        <v>240</v>
      </c>
      <c r="D839" s="430">
        <f t="shared" si="219"/>
        <v>15332</v>
      </c>
      <c r="E839" s="431">
        <v>1056</v>
      </c>
      <c r="F839" s="432">
        <v>1101</v>
      </c>
      <c r="G839" s="432">
        <v>1470</v>
      </c>
      <c r="H839" s="432">
        <v>1333</v>
      </c>
      <c r="I839" s="432">
        <v>1533</v>
      </c>
      <c r="J839" s="432">
        <v>1239</v>
      </c>
      <c r="K839" s="432">
        <v>1367</v>
      </c>
      <c r="L839" s="432">
        <v>1403</v>
      </c>
      <c r="M839" s="432">
        <v>1173</v>
      </c>
      <c r="N839" s="432">
        <v>1263</v>
      </c>
      <c r="O839" s="432">
        <v>1270</v>
      </c>
      <c r="P839" s="433">
        <v>1124</v>
      </c>
    </row>
    <row r="840" spans="2:16" ht="15" customHeight="1">
      <c r="B840" s="352"/>
      <c r="C840" s="357" t="s">
        <v>279</v>
      </c>
      <c r="D840" s="430">
        <f t="shared" si="219"/>
        <v>68064</v>
      </c>
      <c r="E840" s="431">
        <v>4503</v>
      </c>
      <c r="F840" s="432">
        <v>4525</v>
      </c>
      <c r="G840" s="432">
        <v>5530</v>
      </c>
      <c r="H840" s="432">
        <v>5554</v>
      </c>
      <c r="I840" s="432">
        <v>6111</v>
      </c>
      <c r="J840" s="432">
        <v>6286</v>
      </c>
      <c r="K840" s="432">
        <v>5909</v>
      </c>
      <c r="L840" s="432">
        <v>6402</v>
      </c>
      <c r="M840" s="432">
        <v>6318</v>
      </c>
      <c r="N840" s="432">
        <v>6120</v>
      </c>
      <c r="O840" s="432">
        <v>6126</v>
      </c>
      <c r="P840" s="433">
        <v>4680</v>
      </c>
    </row>
    <row r="841" spans="2:16" ht="15" customHeight="1">
      <c r="B841" s="352"/>
      <c r="C841" s="364" t="s">
        <v>242</v>
      </c>
      <c r="D841" s="430">
        <f t="shared" si="219"/>
        <v>9276</v>
      </c>
      <c r="E841" s="431">
        <v>433</v>
      </c>
      <c r="F841" s="432">
        <f>614+5</f>
        <v>619</v>
      </c>
      <c r="G841" s="432">
        <v>734</v>
      </c>
      <c r="H841" s="432">
        <v>876</v>
      </c>
      <c r="I841" s="432">
        <v>966</v>
      </c>
      <c r="J841" s="432">
        <v>800</v>
      </c>
      <c r="K841" s="432">
        <v>723</v>
      </c>
      <c r="L841" s="432">
        <v>820</v>
      </c>
      <c r="M841" s="432">
        <v>715</v>
      </c>
      <c r="N841" s="432">
        <v>952</v>
      </c>
      <c r="O841" s="432">
        <v>946</v>
      </c>
      <c r="P841" s="433">
        <v>692</v>
      </c>
    </row>
    <row r="842" spans="2:16" ht="15" customHeight="1">
      <c r="B842" s="437"/>
      <c r="C842" s="361" t="s">
        <v>280</v>
      </c>
      <c r="D842" s="443">
        <f t="shared" si="219"/>
        <v>104811</v>
      </c>
      <c r="E842" s="444">
        <f>SUM(E838:E841)</f>
        <v>6859</v>
      </c>
      <c r="F842" s="441">
        <f t="shared" ref="F842:P842" si="222">SUM(F838:F841)</f>
        <v>7255</v>
      </c>
      <c r="G842" s="441">
        <f t="shared" si="222"/>
        <v>9002</v>
      </c>
      <c r="H842" s="441">
        <f t="shared" si="222"/>
        <v>9057</v>
      </c>
      <c r="I842" s="441">
        <f t="shared" si="222"/>
        <v>9797</v>
      </c>
      <c r="J842" s="441">
        <f t="shared" si="222"/>
        <v>9391</v>
      </c>
      <c r="K842" s="441">
        <f t="shared" si="222"/>
        <v>8957</v>
      </c>
      <c r="L842" s="441">
        <f t="shared" si="222"/>
        <v>9602</v>
      </c>
      <c r="M842" s="441">
        <f t="shared" si="222"/>
        <v>9072</v>
      </c>
      <c r="N842" s="441">
        <f t="shared" si="222"/>
        <v>9300</v>
      </c>
      <c r="O842" s="441">
        <f t="shared" si="222"/>
        <v>9349</v>
      </c>
      <c r="P842" s="445">
        <f t="shared" si="222"/>
        <v>7170</v>
      </c>
    </row>
    <row r="843" spans="2:16" ht="15" customHeight="1">
      <c r="B843" s="352"/>
      <c r="C843" s="417" t="s">
        <v>243</v>
      </c>
      <c r="D843" s="430">
        <f t="shared" si="219"/>
        <v>2243</v>
      </c>
      <c r="E843" s="431">
        <v>125</v>
      </c>
      <c r="F843" s="432">
        <v>144</v>
      </c>
      <c r="G843" s="432">
        <v>213</v>
      </c>
      <c r="H843" s="432">
        <v>201</v>
      </c>
      <c r="I843" s="432">
        <v>193</v>
      </c>
      <c r="J843" s="432">
        <v>176</v>
      </c>
      <c r="K843" s="432">
        <v>170</v>
      </c>
      <c r="L843" s="432">
        <v>206</v>
      </c>
      <c r="M843" s="432">
        <v>255</v>
      </c>
      <c r="N843" s="432">
        <v>190</v>
      </c>
      <c r="O843" s="432">
        <v>214</v>
      </c>
      <c r="P843" s="433">
        <v>156</v>
      </c>
    </row>
    <row r="844" spans="2:16" ht="15" customHeight="1">
      <c r="B844" s="352"/>
      <c r="C844" s="357" t="s">
        <v>281</v>
      </c>
      <c r="D844" s="430">
        <f t="shared" si="219"/>
        <v>2941</v>
      </c>
      <c r="E844" s="431">
        <v>136</v>
      </c>
      <c r="F844" s="432">
        <f>1+186</f>
        <v>187</v>
      </c>
      <c r="G844" s="432">
        <v>266</v>
      </c>
      <c r="H844" s="432">
        <f>1+221</f>
        <v>222</v>
      </c>
      <c r="I844" s="432">
        <v>250</v>
      </c>
      <c r="J844" s="432">
        <v>300</v>
      </c>
      <c r="K844" s="432">
        <v>278</v>
      </c>
      <c r="L844" s="432">
        <v>277</v>
      </c>
      <c r="M844" s="432">
        <v>243</v>
      </c>
      <c r="N844" s="432">
        <v>314</v>
      </c>
      <c r="O844" s="432">
        <v>278</v>
      </c>
      <c r="P844" s="433">
        <v>190</v>
      </c>
    </row>
    <row r="845" spans="2:16" ht="15" customHeight="1">
      <c r="B845" s="352"/>
      <c r="C845" s="357" t="s">
        <v>282</v>
      </c>
      <c r="D845" s="430">
        <f t="shared" si="219"/>
        <v>2907</v>
      </c>
      <c r="E845" s="431">
        <v>164</v>
      </c>
      <c r="F845" s="432">
        <v>202</v>
      </c>
      <c r="G845" s="432">
        <v>389</v>
      </c>
      <c r="H845" s="432">
        <v>260</v>
      </c>
      <c r="I845" s="432">
        <v>265</v>
      </c>
      <c r="J845" s="432">
        <v>288</v>
      </c>
      <c r="K845" s="432">
        <v>183</v>
      </c>
      <c r="L845" s="432">
        <v>245</v>
      </c>
      <c r="M845" s="432">
        <v>255</v>
      </c>
      <c r="N845" s="432">
        <v>229</v>
      </c>
      <c r="O845" s="432">
        <v>235</v>
      </c>
      <c r="P845" s="433">
        <v>192</v>
      </c>
    </row>
    <row r="846" spans="2:16" ht="15" customHeight="1">
      <c r="B846" s="352"/>
      <c r="C846" s="357" t="s">
        <v>283</v>
      </c>
      <c r="D846" s="430">
        <f t="shared" si="219"/>
        <v>1326</v>
      </c>
      <c r="E846" s="431">
        <v>125</v>
      </c>
      <c r="F846" s="432">
        <v>147</v>
      </c>
      <c r="G846" s="432">
        <v>150</v>
      </c>
      <c r="H846" s="432">
        <v>130</v>
      </c>
      <c r="I846" s="432">
        <v>117</v>
      </c>
      <c r="J846" s="432">
        <v>115</v>
      </c>
      <c r="K846" s="432">
        <v>107</v>
      </c>
      <c r="L846" s="432">
        <v>109</v>
      </c>
      <c r="M846" s="432">
        <v>90</v>
      </c>
      <c r="N846" s="432">
        <v>68</v>
      </c>
      <c r="O846" s="432">
        <v>77</v>
      </c>
      <c r="P846" s="433">
        <v>91</v>
      </c>
    </row>
    <row r="847" spans="2:16" ht="15" customHeight="1">
      <c r="B847" s="352"/>
      <c r="C847" s="357" t="s">
        <v>257</v>
      </c>
      <c r="D847" s="430">
        <f t="shared" si="219"/>
        <v>405</v>
      </c>
      <c r="E847" s="431">
        <v>36</v>
      </c>
      <c r="F847" s="432">
        <v>47</v>
      </c>
      <c r="G847" s="432">
        <v>49</v>
      </c>
      <c r="H847" s="432">
        <v>51</v>
      </c>
      <c r="I847" s="432">
        <v>35</v>
      </c>
      <c r="J847" s="432">
        <v>44</v>
      </c>
      <c r="K847" s="432">
        <v>30</v>
      </c>
      <c r="L847" s="432">
        <v>22</v>
      </c>
      <c r="M847" s="432">
        <v>18</v>
      </c>
      <c r="N847" s="432">
        <v>20</v>
      </c>
      <c r="O847" s="432">
        <v>27</v>
      </c>
      <c r="P847" s="433">
        <v>26</v>
      </c>
    </row>
    <row r="848" spans="2:16" ht="15" customHeight="1">
      <c r="B848" s="352"/>
      <c r="C848" s="357" t="s">
        <v>284</v>
      </c>
      <c r="D848" s="430">
        <f t="shared" si="219"/>
        <v>1373</v>
      </c>
      <c r="E848" s="431">
        <v>76</v>
      </c>
      <c r="F848" s="432">
        <f>1+130</f>
        <v>131</v>
      </c>
      <c r="G848" s="432">
        <f>5+173</f>
        <v>178</v>
      </c>
      <c r="H848" s="432">
        <f>15+115</f>
        <v>130</v>
      </c>
      <c r="I848" s="432">
        <f>13+80</f>
        <v>93</v>
      </c>
      <c r="J848" s="432">
        <f>2+111</f>
        <v>113</v>
      </c>
      <c r="K848" s="432">
        <v>93</v>
      </c>
      <c r="L848" s="432">
        <v>107</v>
      </c>
      <c r="M848" s="432">
        <v>225</v>
      </c>
      <c r="N848" s="432">
        <v>118</v>
      </c>
      <c r="O848" s="432">
        <v>56</v>
      </c>
      <c r="P848" s="433">
        <v>53</v>
      </c>
    </row>
    <row r="849" spans="2:16" ht="15" customHeight="1">
      <c r="B849" s="352"/>
      <c r="C849" s="364" t="s">
        <v>285</v>
      </c>
      <c r="D849" s="430">
        <f t="shared" si="219"/>
        <v>3</v>
      </c>
      <c r="E849" s="431"/>
      <c r="F849" s="432"/>
      <c r="G849" s="432"/>
      <c r="H849" s="432"/>
      <c r="I849" s="432"/>
      <c r="J849" s="432"/>
      <c r="K849" s="432"/>
      <c r="L849" s="432"/>
      <c r="M849" s="432"/>
      <c r="N849" s="432"/>
      <c r="O849" s="432"/>
      <c r="P849" s="433">
        <v>3</v>
      </c>
    </row>
    <row r="850" spans="2:16" ht="15" customHeight="1">
      <c r="B850" s="437"/>
      <c r="C850" s="361" t="s">
        <v>286</v>
      </c>
      <c r="D850" s="443">
        <f t="shared" si="219"/>
        <v>11198</v>
      </c>
      <c r="E850" s="444">
        <f>SUM(E843:E849)</f>
        <v>662</v>
      </c>
      <c r="F850" s="441">
        <f t="shared" ref="F850:P850" si="223">SUM(F843:F849)</f>
        <v>858</v>
      </c>
      <c r="G850" s="441">
        <f t="shared" si="223"/>
        <v>1245</v>
      </c>
      <c r="H850" s="441">
        <f t="shared" si="223"/>
        <v>994</v>
      </c>
      <c r="I850" s="441">
        <f t="shared" si="223"/>
        <v>953</v>
      </c>
      <c r="J850" s="441">
        <f t="shared" si="223"/>
        <v>1036</v>
      </c>
      <c r="K850" s="441">
        <f t="shared" si="223"/>
        <v>861</v>
      </c>
      <c r="L850" s="441">
        <f t="shared" si="223"/>
        <v>966</v>
      </c>
      <c r="M850" s="441">
        <f t="shared" si="223"/>
        <v>1086</v>
      </c>
      <c r="N850" s="441">
        <f t="shared" si="223"/>
        <v>939</v>
      </c>
      <c r="O850" s="441">
        <f t="shared" si="223"/>
        <v>887</v>
      </c>
      <c r="P850" s="445">
        <f t="shared" si="223"/>
        <v>711</v>
      </c>
    </row>
    <row r="851" spans="2:16" ht="15" customHeight="1">
      <c r="B851" s="437"/>
      <c r="C851" s="361" t="s">
        <v>247</v>
      </c>
      <c r="D851" s="443">
        <f t="shared" si="219"/>
        <v>2015</v>
      </c>
      <c r="E851" s="444"/>
      <c r="F851" s="441">
        <f>2+79+18</f>
        <v>99</v>
      </c>
      <c r="G851" s="441"/>
      <c r="H851" s="441">
        <f>100+94+80+23</f>
        <v>297</v>
      </c>
      <c r="I851" s="441">
        <f>39+200+71+19+24</f>
        <v>353</v>
      </c>
      <c r="J851" s="441">
        <f>139+62+120</f>
        <v>321</v>
      </c>
      <c r="K851" s="441">
        <v>126</v>
      </c>
      <c r="L851" s="441">
        <v>238</v>
      </c>
      <c r="M851" s="441">
        <v>102</v>
      </c>
      <c r="N851" s="441">
        <v>107</v>
      </c>
      <c r="O851" s="441">
        <v>316</v>
      </c>
      <c r="P851" s="445">
        <v>56</v>
      </c>
    </row>
    <row r="852" spans="2:16" ht="15" customHeight="1">
      <c r="B852" s="352"/>
      <c r="C852" s="446" t="s">
        <v>249</v>
      </c>
      <c r="D852" s="430">
        <f t="shared" si="219"/>
        <v>22751</v>
      </c>
      <c r="E852" s="431">
        <v>1465</v>
      </c>
      <c r="F852" s="432">
        <v>1764</v>
      </c>
      <c r="G852" s="432">
        <v>2025</v>
      </c>
      <c r="H852" s="432">
        <v>1965</v>
      </c>
      <c r="I852" s="432">
        <v>2056</v>
      </c>
      <c r="J852" s="432">
        <f>1978+1</f>
        <v>1979</v>
      </c>
      <c r="K852" s="432">
        <v>2019</v>
      </c>
      <c r="L852" s="432">
        <v>2162</v>
      </c>
      <c r="M852" s="432">
        <v>2345</v>
      </c>
      <c r="N852" s="432">
        <v>1980</v>
      </c>
      <c r="O852" s="432">
        <v>1444</v>
      </c>
      <c r="P852" s="433">
        <v>1547</v>
      </c>
    </row>
    <row r="853" spans="2:16" ht="15" customHeight="1" thickBot="1">
      <c r="B853" s="437"/>
      <c r="C853" s="447" t="s">
        <v>287</v>
      </c>
      <c r="D853" s="448">
        <f t="shared" si="219"/>
        <v>22751</v>
      </c>
      <c r="E853" s="449">
        <f>SUM(E852)</f>
        <v>1465</v>
      </c>
      <c r="F853" s="450">
        <f t="shared" ref="F853:P853" si="224">F852</f>
        <v>1764</v>
      </c>
      <c r="G853" s="450">
        <f t="shared" si="224"/>
        <v>2025</v>
      </c>
      <c r="H853" s="450">
        <f t="shared" si="224"/>
        <v>1965</v>
      </c>
      <c r="I853" s="450">
        <f t="shared" si="224"/>
        <v>2056</v>
      </c>
      <c r="J853" s="450">
        <f t="shared" si="224"/>
        <v>1979</v>
      </c>
      <c r="K853" s="450">
        <f t="shared" si="224"/>
        <v>2019</v>
      </c>
      <c r="L853" s="450">
        <f t="shared" si="224"/>
        <v>2162</v>
      </c>
      <c r="M853" s="450">
        <f t="shared" si="224"/>
        <v>2345</v>
      </c>
      <c r="N853" s="450">
        <f t="shared" si="224"/>
        <v>1980</v>
      </c>
      <c r="O853" s="450">
        <f t="shared" si="224"/>
        <v>1444</v>
      </c>
      <c r="P853" s="451">
        <f t="shared" si="224"/>
        <v>1547</v>
      </c>
    </row>
    <row r="854" spans="2:16" ht="15" customHeight="1" thickBot="1">
      <c r="B854" s="437"/>
      <c r="C854" s="452"/>
      <c r="D854" s="453">
        <f t="shared" si="219"/>
        <v>413942</v>
      </c>
      <c r="E854" s="454">
        <v>27759</v>
      </c>
      <c r="F854" s="455">
        <f t="shared" ref="F854:P854" si="225">F831+F837+F842+F850+F851+F853</f>
        <v>28457</v>
      </c>
      <c r="G854" s="455">
        <f t="shared" si="225"/>
        <v>34229</v>
      </c>
      <c r="H854" s="455">
        <f t="shared" si="225"/>
        <v>35994</v>
      </c>
      <c r="I854" s="455">
        <f t="shared" si="225"/>
        <v>38186</v>
      </c>
      <c r="J854" s="455">
        <f t="shared" si="225"/>
        <v>37299</v>
      </c>
      <c r="K854" s="455">
        <f t="shared" si="225"/>
        <v>35223</v>
      </c>
      <c r="L854" s="455">
        <f t="shared" si="225"/>
        <v>36482</v>
      </c>
      <c r="M854" s="455">
        <f t="shared" si="225"/>
        <v>37170</v>
      </c>
      <c r="N854" s="455">
        <f t="shared" si="225"/>
        <v>36015</v>
      </c>
      <c r="O854" s="455">
        <f t="shared" si="225"/>
        <v>34632</v>
      </c>
      <c r="P854" s="456">
        <f t="shared" si="225"/>
        <v>32496</v>
      </c>
    </row>
    <row r="855" spans="2:16" ht="15" customHeight="1">
      <c r="B855" s="437"/>
      <c r="C855" s="457" t="s">
        <v>288</v>
      </c>
      <c r="D855" s="458">
        <f>E855+F855+G855+H855+I855+J855+K855+L855+M855+N855+O855+P855</f>
        <v>0</v>
      </c>
      <c r="E855" s="459"/>
      <c r="F855" s="460"/>
      <c r="G855" s="460"/>
      <c r="H855" s="460"/>
      <c r="I855" s="460"/>
      <c r="J855" s="460"/>
      <c r="K855" s="460"/>
      <c r="L855" s="460"/>
      <c r="M855" s="460"/>
      <c r="N855" s="460"/>
      <c r="O855" s="460"/>
      <c r="P855" s="461"/>
    </row>
    <row r="856" spans="2:16" ht="15" customHeight="1">
      <c r="B856" s="437"/>
      <c r="C856" s="457" t="s">
        <v>289</v>
      </c>
      <c r="D856" s="458">
        <f>E856+F856+G856+H856+I856+J856+K856+L856+M856+N856+O856+P856</f>
        <v>0</v>
      </c>
      <c r="E856" s="459"/>
      <c r="F856" s="460"/>
      <c r="G856" s="460"/>
      <c r="H856" s="460"/>
      <c r="I856" s="460"/>
      <c r="J856" s="460"/>
      <c r="K856" s="460"/>
      <c r="L856" s="460"/>
      <c r="M856" s="460"/>
      <c r="N856" s="460"/>
      <c r="O856" s="460"/>
      <c r="P856" s="461"/>
    </row>
    <row r="857" spans="2:16" ht="15" customHeight="1">
      <c r="B857" s="437"/>
      <c r="C857" s="457" t="s">
        <v>290</v>
      </c>
      <c r="D857" s="458">
        <f>E857+F857+G857+H857+I857+J857+K857+L857+M857+N857+O857+P857</f>
        <v>0</v>
      </c>
      <c r="E857" s="459"/>
      <c r="F857" s="460"/>
      <c r="G857" s="460"/>
      <c r="H857" s="460"/>
      <c r="I857" s="460"/>
      <c r="J857" s="460"/>
      <c r="K857" s="460"/>
      <c r="L857" s="460"/>
      <c r="M857" s="460"/>
      <c r="N857" s="460"/>
      <c r="O857" s="460"/>
      <c r="P857" s="461"/>
    </row>
    <row r="858" spans="2:16" ht="15" customHeight="1">
      <c r="B858" s="437"/>
      <c r="C858" s="457" t="s">
        <v>291</v>
      </c>
      <c r="D858" s="458">
        <f>E858+F858+G858+H858+I858+J858+K858+L858+M858+N858+O858+P858</f>
        <v>0</v>
      </c>
      <c r="E858" s="459"/>
      <c r="F858" s="460"/>
      <c r="G858" s="460"/>
      <c r="H858" s="460"/>
      <c r="I858" s="460"/>
      <c r="J858" s="460"/>
      <c r="K858" s="460"/>
      <c r="L858" s="460"/>
      <c r="M858" s="460"/>
      <c r="N858" s="460"/>
      <c r="O858" s="460"/>
      <c r="P858" s="461"/>
    </row>
    <row r="859" spans="2:16" ht="15" customHeight="1">
      <c r="B859" s="437"/>
      <c r="C859" s="457" t="s">
        <v>292</v>
      </c>
      <c r="D859" s="458">
        <f>E859+F859+G859+H859+I859+J859+K859+L859+M859+N859+O859+P859</f>
        <v>0</v>
      </c>
      <c r="E859" s="459"/>
      <c r="F859" s="460"/>
      <c r="G859" s="460"/>
      <c r="H859" s="460"/>
      <c r="I859" s="460"/>
      <c r="J859" s="460"/>
      <c r="K859" s="460"/>
      <c r="L859" s="460"/>
      <c r="M859" s="460"/>
      <c r="N859" s="460"/>
      <c r="O859" s="460"/>
      <c r="P859" s="461"/>
    </row>
    <row r="860" spans="2:16" ht="15" customHeight="1">
      <c r="B860" s="437"/>
      <c r="C860" s="457" t="s">
        <v>293</v>
      </c>
      <c r="D860" s="458"/>
      <c r="E860" s="459"/>
      <c r="F860" s="460"/>
      <c r="G860" s="460"/>
      <c r="H860" s="460"/>
      <c r="I860" s="460"/>
      <c r="J860" s="460"/>
      <c r="K860" s="460"/>
      <c r="L860" s="460"/>
      <c r="M860" s="460"/>
      <c r="N860" s="460"/>
      <c r="O860" s="460"/>
      <c r="P860" s="461"/>
    </row>
    <row r="861" spans="2:16" ht="15" customHeight="1">
      <c r="B861" s="437"/>
      <c r="C861" s="457" t="s">
        <v>294</v>
      </c>
      <c r="D861" s="458">
        <f>E861+F861+G861+H861+I861+J861+K861+L861+M861+N861+O861+P861</f>
        <v>0</v>
      </c>
      <c r="E861" s="459"/>
      <c r="F861" s="460"/>
      <c r="G861" s="460"/>
      <c r="H861" s="460"/>
      <c r="I861" s="460"/>
      <c r="J861" s="460"/>
      <c r="K861" s="460"/>
      <c r="L861" s="460"/>
      <c r="M861" s="460"/>
      <c r="N861" s="460"/>
      <c r="O861" s="460"/>
      <c r="P861" s="461"/>
    </row>
    <row r="862" spans="2:16" ht="15" customHeight="1">
      <c r="B862" s="437"/>
      <c r="C862" s="457" t="s">
        <v>295</v>
      </c>
      <c r="D862" s="458">
        <f>E862+F862+G862+H862+I862+J862+K862+L862+M862+N862+O862+P862</f>
        <v>0</v>
      </c>
      <c r="E862" s="459"/>
      <c r="F862" s="460"/>
      <c r="G862" s="460"/>
      <c r="H862" s="460"/>
      <c r="I862" s="460"/>
      <c r="J862" s="460"/>
      <c r="K862" s="460"/>
      <c r="L862" s="460"/>
      <c r="M862" s="460"/>
      <c r="N862" s="460"/>
      <c r="O862" s="460"/>
      <c r="P862" s="461"/>
    </row>
    <row r="863" spans="2:16" ht="15" customHeight="1">
      <c r="B863" s="437"/>
      <c r="C863" s="462"/>
      <c r="D863" s="463">
        <f>SUM(D855:D862)</f>
        <v>0</v>
      </c>
      <c r="E863" s="464" t="s">
        <v>296</v>
      </c>
      <c r="F863" s="465">
        <f t="shared" ref="F863:P863" si="226">SUM(F855:F862)</f>
        <v>0</v>
      </c>
      <c r="G863" s="465">
        <f t="shared" si="226"/>
        <v>0</v>
      </c>
      <c r="H863" s="465">
        <f t="shared" si="226"/>
        <v>0</v>
      </c>
      <c r="I863" s="465">
        <f t="shared" si="226"/>
        <v>0</v>
      </c>
      <c r="J863" s="465">
        <f t="shared" si="226"/>
        <v>0</v>
      </c>
      <c r="K863" s="465">
        <f t="shared" si="226"/>
        <v>0</v>
      </c>
      <c r="L863" s="465">
        <f t="shared" si="226"/>
        <v>0</v>
      </c>
      <c r="M863" s="465">
        <f t="shared" si="226"/>
        <v>0</v>
      </c>
      <c r="N863" s="465">
        <f t="shared" si="226"/>
        <v>0</v>
      </c>
      <c r="O863" s="465">
        <f t="shared" si="226"/>
        <v>0</v>
      </c>
      <c r="P863" s="466">
        <f t="shared" si="226"/>
        <v>0</v>
      </c>
    </row>
    <row r="864" spans="2:16" ht="15" customHeight="1" thickBot="1">
      <c r="B864" s="423" t="s">
        <v>250</v>
      </c>
      <c r="C864" s="467"/>
      <c r="D864" s="468">
        <f>SUM(E864:P864)</f>
        <v>413942</v>
      </c>
      <c r="E864" s="469">
        <f>SUM(E853+E851+E850+E842+E837+E831)</f>
        <v>27759</v>
      </c>
      <c r="F864" s="469">
        <f t="shared" ref="F864:P864" si="227">SUM(F853+F851+F850+F842+F837+F831)</f>
        <v>28457</v>
      </c>
      <c r="G864" s="469">
        <f t="shared" si="227"/>
        <v>34229</v>
      </c>
      <c r="H864" s="469">
        <f t="shared" si="227"/>
        <v>35994</v>
      </c>
      <c r="I864" s="469">
        <f t="shared" si="227"/>
        <v>38186</v>
      </c>
      <c r="J864" s="469">
        <f t="shared" si="227"/>
        <v>37299</v>
      </c>
      <c r="K864" s="469">
        <f t="shared" si="227"/>
        <v>35223</v>
      </c>
      <c r="L864" s="469">
        <f>SUM(L853+L851+L850+L842+L837+L831)</f>
        <v>36482</v>
      </c>
      <c r="M864" s="469">
        <f t="shared" si="227"/>
        <v>37170</v>
      </c>
      <c r="N864" s="469">
        <f t="shared" si="227"/>
        <v>36015</v>
      </c>
      <c r="O864" s="469">
        <f t="shared" si="227"/>
        <v>34632</v>
      </c>
      <c r="P864" s="469">
        <f t="shared" si="227"/>
        <v>32496</v>
      </c>
    </row>
    <row r="865" spans="2:16" ht="15" customHeight="1"/>
    <row r="866" spans="2:16" ht="15" customHeight="1"/>
    <row r="867" spans="2:16" ht="15" customHeight="1" thickBot="1">
      <c r="B867" s="18" t="s">
        <v>330</v>
      </c>
    </row>
    <row r="868" spans="2:16" ht="15" customHeight="1" thickBot="1">
      <c r="B868" s="721" t="s">
        <v>7</v>
      </c>
      <c r="C868" s="722"/>
      <c r="D868" s="470" t="s">
        <v>259</v>
      </c>
      <c r="E868" s="471" t="s">
        <v>298</v>
      </c>
      <c r="F868" s="472" t="s">
        <v>299</v>
      </c>
      <c r="G868" s="472" t="s">
        <v>300</v>
      </c>
      <c r="H868" s="472" t="s">
        <v>301</v>
      </c>
      <c r="I868" s="472" t="s">
        <v>302</v>
      </c>
      <c r="J868" s="472" t="s">
        <v>303</v>
      </c>
      <c r="K868" s="472" t="s">
        <v>304</v>
      </c>
      <c r="L868" s="472" t="s">
        <v>305</v>
      </c>
      <c r="M868" s="472" t="s">
        <v>306</v>
      </c>
      <c r="N868" s="472" t="s">
        <v>307</v>
      </c>
      <c r="O868" s="472" t="s">
        <v>308</v>
      </c>
      <c r="P868" s="473" t="s">
        <v>309</v>
      </c>
    </row>
    <row r="869" spans="2:16" ht="15" customHeight="1">
      <c r="B869" s="474"/>
      <c r="C869" s="353" t="s">
        <v>23</v>
      </c>
      <c r="D869" s="475">
        <f t="shared" ref="D869:D878" si="228">E869+F869+G869+H869+I869+J869+K869+L869+M869+N869+O869+P869</f>
        <v>382</v>
      </c>
      <c r="E869" s="476">
        <v>270</v>
      </c>
      <c r="F869" s="477">
        <v>112</v>
      </c>
      <c r="G869" s="477"/>
      <c r="H869" s="477"/>
      <c r="I869" s="477"/>
      <c r="J869" s="477"/>
      <c r="K869" s="477"/>
      <c r="L869" s="477"/>
      <c r="M869" s="477"/>
      <c r="N869" s="477"/>
      <c r="O869" s="477"/>
      <c r="P869" s="478"/>
    </row>
    <row r="870" spans="2:16" ht="15" customHeight="1">
      <c r="B870" s="474"/>
      <c r="C870" s="357" t="s">
        <v>310</v>
      </c>
      <c r="D870" s="430">
        <f t="shared" si="228"/>
        <v>84</v>
      </c>
      <c r="E870" s="431">
        <v>39</v>
      </c>
      <c r="F870" s="432">
        <v>45</v>
      </c>
      <c r="G870" s="432"/>
      <c r="H870" s="432"/>
      <c r="I870" s="432"/>
      <c r="J870" s="432"/>
      <c r="K870" s="432"/>
      <c r="L870" s="432"/>
      <c r="M870" s="432"/>
      <c r="N870" s="432"/>
      <c r="O870" s="432"/>
      <c r="P870" s="433"/>
    </row>
    <row r="871" spans="2:16" ht="15" customHeight="1">
      <c r="B871" s="474"/>
      <c r="C871" s="357" t="s">
        <v>272</v>
      </c>
      <c r="D871" s="430">
        <f t="shared" si="228"/>
        <v>24188</v>
      </c>
      <c r="E871" s="431">
        <v>3354</v>
      </c>
      <c r="F871" s="432">
        <v>2764</v>
      </c>
      <c r="G871" s="432">
        <v>2971</v>
      </c>
      <c r="H871" s="432">
        <v>2177</v>
      </c>
      <c r="I871" s="432">
        <v>2537</v>
      </c>
      <c r="J871" s="432">
        <v>1429</v>
      </c>
      <c r="K871" s="432">
        <v>2253</v>
      </c>
      <c r="L871" s="432">
        <v>1805</v>
      </c>
      <c r="M871" s="432">
        <v>1481</v>
      </c>
      <c r="N871" s="432">
        <v>1438</v>
      </c>
      <c r="O871" s="432">
        <v>1044</v>
      </c>
      <c r="P871" s="433">
        <v>935</v>
      </c>
    </row>
    <row r="872" spans="2:16" ht="15" customHeight="1">
      <c r="B872" s="474"/>
      <c r="C872" s="357" t="s">
        <v>311</v>
      </c>
      <c r="D872" s="430">
        <f t="shared" si="228"/>
        <v>3073</v>
      </c>
      <c r="E872" s="431">
        <v>388</v>
      </c>
      <c r="F872" s="432">
        <v>338</v>
      </c>
      <c r="G872" s="432">
        <v>343</v>
      </c>
      <c r="H872" s="432">
        <v>1433</v>
      </c>
      <c r="I872" s="432">
        <v>424</v>
      </c>
      <c r="J872" s="432">
        <v>142</v>
      </c>
      <c r="K872" s="432">
        <v>5</v>
      </c>
      <c r="L872" s="432"/>
      <c r="M872" s="432"/>
      <c r="N872" s="432"/>
      <c r="O872" s="432"/>
      <c r="P872" s="433"/>
    </row>
    <row r="873" spans="2:16" ht="15" customHeight="1">
      <c r="B873" s="474"/>
      <c r="C873" s="357" t="s">
        <v>230</v>
      </c>
      <c r="D873" s="430">
        <f t="shared" si="228"/>
        <v>21450</v>
      </c>
      <c r="E873" s="431"/>
      <c r="F873" s="432"/>
      <c r="G873" s="432"/>
      <c r="H873" s="432"/>
      <c r="I873" s="432">
        <v>197</v>
      </c>
      <c r="J873" s="432">
        <v>2737</v>
      </c>
      <c r="K873" s="432">
        <v>3588</v>
      </c>
      <c r="L873" s="432">
        <v>4164</v>
      </c>
      <c r="M873" s="432">
        <v>3789</v>
      </c>
      <c r="N873" s="432">
        <v>2933</v>
      </c>
      <c r="O873" s="432">
        <v>2403</v>
      </c>
      <c r="P873" s="433">
        <v>1639</v>
      </c>
    </row>
    <row r="874" spans="2:16" ht="15" customHeight="1">
      <c r="B874" s="474"/>
      <c r="C874" s="357" t="s">
        <v>312</v>
      </c>
      <c r="D874" s="430">
        <f t="shared" si="228"/>
        <v>6028</v>
      </c>
      <c r="E874" s="431">
        <v>685</v>
      </c>
      <c r="F874" s="432">
        <v>636</v>
      </c>
      <c r="G874" s="432">
        <v>639</v>
      </c>
      <c r="H874" s="432">
        <v>488</v>
      </c>
      <c r="I874" s="432">
        <v>373</v>
      </c>
      <c r="J874" s="432">
        <v>329</v>
      </c>
      <c r="K874" s="432">
        <v>518</v>
      </c>
      <c r="L874" s="432">
        <v>283</v>
      </c>
      <c r="M874" s="432">
        <v>115</v>
      </c>
      <c r="N874" s="432">
        <v>232</v>
      </c>
      <c r="O874" s="432">
        <v>842</v>
      </c>
      <c r="P874" s="433">
        <v>888</v>
      </c>
    </row>
    <row r="875" spans="2:16" ht="15" customHeight="1">
      <c r="B875" s="474"/>
      <c r="C875" s="357" t="s">
        <v>313</v>
      </c>
      <c r="D875" s="430">
        <f t="shared" si="228"/>
        <v>8604</v>
      </c>
      <c r="E875" s="431">
        <v>1357</v>
      </c>
      <c r="F875" s="432">
        <v>1282</v>
      </c>
      <c r="G875" s="432">
        <v>1395</v>
      </c>
      <c r="H875" s="432">
        <v>1324</v>
      </c>
      <c r="I875" s="432">
        <v>1397</v>
      </c>
      <c r="J875" s="432">
        <v>1364</v>
      </c>
      <c r="K875" s="432">
        <v>489</v>
      </c>
      <c r="L875" s="432">
        <v>5</v>
      </c>
      <c r="M875" s="432"/>
      <c r="N875" s="479">
        <v>-2</v>
      </c>
      <c r="O875" s="479">
        <v>-4</v>
      </c>
      <c r="P875" s="480">
        <v>-3</v>
      </c>
    </row>
    <row r="876" spans="2:16" ht="15" customHeight="1">
      <c r="B876" s="474"/>
      <c r="C876" s="357" t="s">
        <v>274</v>
      </c>
      <c r="D876" s="430">
        <f t="shared" si="228"/>
        <v>31494</v>
      </c>
      <c r="E876" s="431"/>
      <c r="F876" s="432"/>
      <c r="G876" s="432"/>
      <c r="H876" s="432"/>
      <c r="I876" s="432"/>
      <c r="J876" s="432"/>
      <c r="K876" s="432">
        <v>3239</v>
      </c>
      <c r="L876" s="432">
        <v>7071</v>
      </c>
      <c r="M876" s="432">
        <v>5783</v>
      </c>
      <c r="N876" s="432">
        <v>5467</v>
      </c>
      <c r="O876" s="432">
        <v>5125</v>
      </c>
      <c r="P876" s="433">
        <f>4809</f>
        <v>4809</v>
      </c>
    </row>
    <row r="877" spans="2:16" ht="15" customHeight="1">
      <c r="B877" s="474"/>
      <c r="C877" s="357" t="s">
        <v>275</v>
      </c>
      <c r="D877" s="430">
        <f t="shared" si="228"/>
        <v>2795</v>
      </c>
      <c r="E877" s="431">
        <v>231</v>
      </c>
      <c r="F877" s="432">
        <v>223</v>
      </c>
      <c r="G877" s="432">
        <v>319</v>
      </c>
      <c r="H877" s="432">
        <v>267</v>
      </c>
      <c r="I877" s="432">
        <v>310</v>
      </c>
      <c r="J877" s="432">
        <v>223</v>
      </c>
      <c r="K877" s="432">
        <v>290</v>
      </c>
      <c r="L877" s="432">
        <v>237</v>
      </c>
      <c r="M877" s="432">
        <v>193</v>
      </c>
      <c r="N877" s="432">
        <v>172</v>
      </c>
      <c r="O877" s="432">
        <v>166</v>
      </c>
      <c r="P877" s="433">
        <v>164</v>
      </c>
    </row>
    <row r="878" spans="2:16" ht="15" customHeight="1">
      <c r="B878" s="474"/>
      <c r="C878" s="364" t="s">
        <v>252</v>
      </c>
      <c r="D878" s="481">
        <f t="shared" si="228"/>
        <v>2394</v>
      </c>
      <c r="E878" s="434">
        <v>208</v>
      </c>
      <c r="F878" s="435">
        <v>161</v>
      </c>
      <c r="G878" s="435">
        <v>214</v>
      </c>
      <c r="H878" s="435">
        <v>237</v>
      </c>
      <c r="I878" s="435">
        <v>276</v>
      </c>
      <c r="J878" s="435">
        <v>224</v>
      </c>
      <c r="K878" s="435">
        <v>245</v>
      </c>
      <c r="L878" s="435">
        <v>227</v>
      </c>
      <c r="M878" s="435">
        <v>189</v>
      </c>
      <c r="N878" s="435">
        <v>139</v>
      </c>
      <c r="O878" s="435">
        <v>131</v>
      </c>
      <c r="P878" s="436">
        <v>143</v>
      </c>
    </row>
    <row r="879" spans="2:16" ht="15" customHeight="1">
      <c r="B879" s="482"/>
      <c r="C879" s="361" t="s">
        <v>234</v>
      </c>
      <c r="D879" s="483">
        <f>SUM(D869:D878)</f>
        <v>100492</v>
      </c>
      <c r="E879" s="439">
        <f>SUM(E869:E878)</f>
        <v>6532</v>
      </c>
      <c r="F879" s="440">
        <f t="shared" ref="F879:P879" si="229">SUM(F869:F878)</f>
        <v>5561</v>
      </c>
      <c r="G879" s="440">
        <f t="shared" si="229"/>
        <v>5881</v>
      </c>
      <c r="H879" s="440">
        <f t="shared" si="229"/>
        <v>5926</v>
      </c>
      <c r="I879" s="440">
        <f t="shared" si="229"/>
        <v>5514</v>
      </c>
      <c r="J879" s="440">
        <f t="shared" si="229"/>
        <v>6448</v>
      </c>
      <c r="K879" s="440">
        <f t="shared" si="229"/>
        <v>10627</v>
      </c>
      <c r="L879" s="440">
        <f t="shared" si="229"/>
        <v>13792</v>
      </c>
      <c r="M879" s="440">
        <f t="shared" si="229"/>
        <v>11550</v>
      </c>
      <c r="N879" s="440">
        <f t="shared" si="229"/>
        <v>10379</v>
      </c>
      <c r="O879" s="440">
        <f t="shared" si="229"/>
        <v>9707</v>
      </c>
      <c r="P879" s="442">
        <f t="shared" si="229"/>
        <v>8575</v>
      </c>
    </row>
    <row r="880" spans="2:16" ht="15" customHeight="1">
      <c r="B880" s="474"/>
      <c r="C880" s="417" t="s">
        <v>73</v>
      </c>
      <c r="D880" s="430">
        <f>E880+F880+G880+H880+I880+J880+K880+L880+M880+N880+O880+P880</f>
        <v>2504</v>
      </c>
      <c r="E880" s="431">
        <v>348</v>
      </c>
      <c r="F880" s="432">
        <v>207</v>
      </c>
      <c r="G880" s="432">
        <v>193</v>
      </c>
      <c r="H880" s="432">
        <v>159</v>
      </c>
      <c r="I880" s="432">
        <v>140</v>
      </c>
      <c r="J880" s="432">
        <v>189</v>
      </c>
      <c r="K880" s="432">
        <v>231</v>
      </c>
      <c r="L880" s="432">
        <v>240</v>
      </c>
      <c r="M880" s="432">
        <v>222</v>
      </c>
      <c r="N880" s="432">
        <v>211</v>
      </c>
      <c r="O880" s="432">
        <v>184</v>
      </c>
      <c r="P880" s="433">
        <v>180</v>
      </c>
    </row>
    <row r="881" spans="2:16" ht="15" customHeight="1">
      <c r="B881" s="474"/>
      <c r="C881" s="357" t="s">
        <v>30</v>
      </c>
      <c r="D881" s="430">
        <f>E881+F881+G881+H881+I881+J881+K881+L881+M881+N881+O881+P881</f>
        <v>58442</v>
      </c>
      <c r="E881" s="431">
        <v>4146</v>
      </c>
      <c r="F881" s="432">
        <v>5156</v>
      </c>
      <c r="G881" s="432">
        <v>4764</v>
      </c>
      <c r="H881" s="432">
        <v>4178</v>
      </c>
      <c r="I881" s="432">
        <v>5099</v>
      </c>
      <c r="J881" s="432">
        <v>5544</v>
      </c>
      <c r="K881" s="432">
        <v>5465</v>
      </c>
      <c r="L881" s="432">
        <v>3668</v>
      </c>
      <c r="M881" s="432">
        <v>4503</v>
      </c>
      <c r="N881" s="432">
        <v>4183</v>
      </c>
      <c r="O881" s="432">
        <v>5371</v>
      </c>
      <c r="P881" s="433">
        <v>6365</v>
      </c>
    </row>
    <row r="882" spans="2:16" ht="15" customHeight="1">
      <c r="B882" s="474"/>
      <c r="C882" s="357" t="s">
        <v>276</v>
      </c>
      <c r="D882" s="430">
        <f>E882+F882+G882+H882+I882+J882+K882+L882+M882+N882+O882+P882</f>
        <v>8248</v>
      </c>
      <c r="E882" s="431">
        <v>839</v>
      </c>
      <c r="F882" s="432">
        <v>840</v>
      </c>
      <c r="G882" s="432">
        <v>731</v>
      </c>
      <c r="H882" s="432">
        <v>670</v>
      </c>
      <c r="I882" s="432">
        <v>707</v>
      </c>
      <c r="J882" s="432">
        <v>631</v>
      </c>
      <c r="K882" s="432">
        <v>723</v>
      </c>
      <c r="L882" s="432">
        <v>438</v>
      </c>
      <c r="M882" s="432">
        <v>623</v>
      </c>
      <c r="N882" s="432">
        <v>680</v>
      </c>
      <c r="O882" s="432">
        <v>713</v>
      </c>
      <c r="P882" s="433">
        <v>653</v>
      </c>
    </row>
    <row r="883" spans="2:16" ht="15" customHeight="1">
      <c r="B883" s="474"/>
      <c r="C883" s="364" t="s">
        <v>29</v>
      </c>
      <c r="D883" s="481">
        <f>E883+F883+G883+H883+I883+J883+K883+L883+M883+N883+O883+P883</f>
        <v>84081</v>
      </c>
      <c r="E883" s="434">
        <v>8590</v>
      </c>
      <c r="F883" s="435">
        <v>6682</v>
      </c>
      <c r="G883" s="435">
        <f>7686-137</f>
        <v>7549</v>
      </c>
      <c r="H883" s="435">
        <v>6034</v>
      </c>
      <c r="I883" s="435">
        <v>7515</v>
      </c>
      <c r="J883" s="435">
        <v>4936</v>
      </c>
      <c r="K883" s="435">
        <v>8418</v>
      </c>
      <c r="L883" s="435">
        <v>8628</v>
      </c>
      <c r="M883" s="435">
        <v>5932</v>
      </c>
      <c r="N883" s="435">
        <v>6309</v>
      </c>
      <c r="O883" s="435">
        <v>6422</v>
      </c>
      <c r="P883" s="436">
        <v>7066</v>
      </c>
    </row>
    <row r="884" spans="2:16" ht="15" customHeight="1">
      <c r="B884" s="482"/>
      <c r="C884" s="361" t="s">
        <v>239</v>
      </c>
      <c r="D884" s="483">
        <f>SUM(D880:D883)</f>
        <v>153275</v>
      </c>
      <c r="E884" s="439">
        <f>SUM(E880:E883)</f>
        <v>13923</v>
      </c>
      <c r="F884" s="440">
        <f t="shared" ref="F884:P884" si="230">SUM(F880:F883)</f>
        <v>12885</v>
      </c>
      <c r="G884" s="440">
        <f t="shared" si="230"/>
        <v>13237</v>
      </c>
      <c r="H884" s="440">
        <f t="shared" si="230"/>
        <v>11041</v>
      </c>
      <c r="I884" s="440">
        <f t="shared" si="230"/>
        <v>13461</v>
      </c>
      <c r="J884" s="440">
        <f t="shared" si="230"/>
        <v>11300</v>
      </c>
      <c r="K884" s="440">
        <f t="shared" si="230"/>
        <v>14837</v>
      </c>
      <c r="L884" s="440">
        <f t="shared" si="230"/>
        <v>12974</v>
      </c>
      <c r="M884" s="440">
        <f t="shared" si="230"/>
        <v>11280</v>
      </c>
      <c r="N884" s="440">
        <f t="shared" si="230"/>
        <v>11383</v>
      </c>
      <c r="O884" s="440">
        <f t="shared" si="230"/>
        <v>12690</v>
      </c>
      <c r="P884" s="442">
        <f t="shared" si="230"/>
        <v>14264</v>
      </c>
    </row>
    <row r="885" spans="2:16" ht="15" customHeight="1">
      <c r="B885" s="474"/>
      <c r="C885" s="417" t="s">
        <v>278</v>
      </c>
      <c r="D885" s="430">
        <f t="shared" ref="D885:D891" si="231">E885+F885+G885+H885+I885+J885+K885+L885+M885+N885+O885+P885</f>
        <v>13776</v>
      </c>
      <c r="E885" s="431">
        <v>1018</v>
      </c>
      <c r="F885" s="432">
        <f>846+186</f>
        <v>1032</v>
      </c>
      <c r="G885" s="432">
        <f>934+214</f>
        <v>1148</v>
      </c>
      <c r="H885" s="432">
        <f>807+248</f>
        <v>1055</v>
      </c>
      <c r="I885" s="432">
        <f>1079+292</f>
        <v>1371</v>
      </c>
      <c r="J885" s="432">
        <f>1000+269</f>
        <v>1269</v>
      </c>
      <c r="K885" s="432">
        <f>813+276</f>
        <v>1089</v>
      </c>
      <c r="L885" s="432">
        <f>832+225</f>
        <v>1057</v>
      </c>
      <c r="M885" s="432">
        <f>797+245</f>
        <v>1042</v>
      </c>
      <c r="N885" s="432">
        <f>967+283</f>
        <v>1250</v>
      </c>
      <c r="O885" s="432">
        <f>1090+287</f>
        <v>1377</v>
      </c>
      <c r="P885" s="433">
        <f>884+184</f>
        <v>1068</v>
      </c>
    </row>
    <row r="886" spans="2:16" ht="15" customHeight="1">
      <c r="B886" s="474"/>
      <c r="C886" s="357" t="s">
        <v>240</v>
      </c>
      <c r="D886" s="430">
        <f t="shared" si="231"/>
        <v>15101</v>
      </c>
      <c r="E886" s="431">
        <v>1128</v>
      </c>
      <c r="F886" s="432">
        <v>1119</v>
      </c>
      <c r="G886" s="432">
        <v>1315</v>
      </c>
      <c r="H886" s="432">
        <v>1138</v>
      </c>
      <c r="I886" s="432">
        <v>1343</v>
      </c>
      <c r="J886" s="432">
        <v>1237</v>
      </c>
      <c r="K886" s="432">
        <v>1463</v>
      </c>
      <c r="L886" s="432">
        <v>1431</v>
      </c>
      <c r="M886" s="432">
        <f>1430+5</f>
        <v>1435</v>
      </c>
      <c r="N886" s="432">
        <v>1204</v>
      </c>
      <c r="O886" s="432">
        <v>980</v>
      </c>
      <c r="P886" s="433">
        <v>1308</v>
      </c>
    </row>
    <row r="887" spans="2:16" ht="15" customHeight="1">
      <c r="B887" s="474"/>
      <c r="C887" s="357" t="s">
        <v>249</v>
      </c>
      <c r="D887" s="430">
        <f t="shared" si="231"/>
        <v>2442</v>
      </c>
      <c r="E887" s="431"/>
      <c r="F887" s="432"/>
      <c r="G887" s="432"/>
      <c r="H887" s="432"/>
      <c r="I887" s="432"/>
      <c r="J887" s="432"/>
      <c r="K887" s="432"/>
      <c r="L887" s="432"/>
      <c r="M887" s="432"/>
      <c r="N887" s="432">
        <v>262</v>
      </c>
      <c r="O887" s="432">
        <v>930</v>
      </c>
      <c r="P887" s="433">
        <v>1250</v>
      </c>
    </row>
    <row r="888" spans="2:16" ht="15" customHeight="1">
      <c r="B888" s="474"/>
      <c r="C888" s="357" t="s">
        <v>314</v>
      </c>
      <c r="D888" s="430">
        <f t="shared" si="231"/>
        <v>1098</v>
      </c>
      <c r="E888" s="431">
        <v>251</v>
      </c>
      <c r="F888" s="432">
        <v>346</v>
      </c>
      <c r="G888" s="432">
        <v>347</v>
      </c>
      <c r="H888" s="432">
        <v>153</v>
      </c>
      <c r="I888" s="432">
        <v>1</v>
      </c>
      <c r="J888" s="479">
        <v>-1</v>
      </c>
      <c r="K888" s="432">
        <v>1</v>
      </c>
      <c r="L888" s="432"/>
      <c r="M888" s="432"/>
      <c r="N888" s="432"/>
      <c r="O888" s="432"/>
      <c r="P888" s="433"/>
    </row>
    <row r="889" spans="2:16" ht="15" customHeight="1">
      <c r="B889" s="474"/>
      <c r="C889" s="357" t="s">
        <v>315</v>
      </c>
      <c r="D889" s="430">
        <f t="shared" si="231"/>
        <v>51415</v>
      </c>
      <c r="E889" s="431">
        <v>4941</v>
      </c>
      <c r="F889" s="432">
        <f>4254</f>
        <v>4254</v>
      </c>
      <c r="G889" s="432">
        <v>4763</v>
      </c>
      <c r="H889" s="432">
        <v>3757</v>
      </c>
      <c r="I889" s="432">
        <v>3775</v>
      </c>
      <c r="J889" s="432">
        <v>3583</v>
      </c>
      <c r="K889" s="432">
        <v>4411</v>
      </c>
      <c r="L889" s="432">
        <v>4130</v>
      </c>
      <c r="M889" s="432">
        <f>4777+102</f>
        <v>4879</v>
      </c>
      <c r="N889" s="432">
        <v>4374</v>
      </c>
      <c r="O889" s="432">
        <v>5018</v>
      </c>
      <c r="P889" s="433">
        <v>3530</v>
      </c>
    </row>
    <row r="890" spans="2:16" ht="15" customHeight="1">
      <c r="B890" s="474"/>
      <c r="C890" s="357" t="s">
        <v>316</v>
      </c>
      <c r="D890" s="430">
        <f t="shared" si="231"/>
        <v>1339</v>
      </c>
      <c r="E890" s="431"/>
      <c r="F890" s="432"/>
      <c r="G890" s="432"/>
      <c r="H890" s="432"/>
      <c r="I890" s="432"/>
      <c r="J890" s="432"/>
      <c r="K890" s="432"/>
      <c r="L890" s="432"/>
      <c r="M890" s="432"/>
      <c r="N890" s="432">
        <v>437</v>
      </c>
      <c r="O890" s="432">
        <v>500</v>
      </c>
      <c r="P890" s="433">
        <v>402</v>
      </c>
    </row>
    <row r="891" spans="2:16" ht="15" customHeight="1">
      <c r="B891" s="474"/>
      <c r="C891" s="364" t="s">
        <v>317</v>
      </c>
      <c r="D891" s="481">
        <f t="shared" si="231"/>
        <v>5345</v>
      </c>
      <c r="E891" s="434">
        <v>487</v>
      </c>
      <c r="F891" s="435">
        <v>509</v>
      </c>
      <c r="G891" s="435">
        <v>630</v>
      </c>
      <c r="H891" s="435">
        <v>541</v>
      </c>
      <c r="I891" s="435">
        <v>661</v>
      </c>
      <c r="J891" s="435">
        <v>629</v>
      </c>
      <c r="K891" s="435">
        <v>560</v>
      </c>
      <c r="L891" s="435">
        <v>556</v>
      </c>
      <c r="M891" s="435">
        <v>718</v>
      </c>
      <c r="N891" s="435">
        <v>44</v>
      </c>
      <c r="O891" s="435">
        <v>4</v>
      </c>
      <c r="P891" s="436">
        <v>6</v>
      </c>
    </row>
    <row r="892" spans="2:16" ht="15" customHeight="1">
      <c r="B892" s="482"/>
      <c r="C892" s="361" t="s">
        <v>280</v>
      </c>
      <c r="D892" s="483">
        <f>SUM(D885:D891)</f>
        <v>90516</v>
      </c>
      <c r="E892" s="439">
        <f>SUM(E885:E891)</f>
        <v>7825</v>
      </c>
      <c r="F892" s="440">
        <f t="shared" ref="F892:P892" si="232">SUM(F885:F891)</f>
        <v>7260</v>
      </c>
      <c r="G892" s="440">
        <f t="shared" si="232"/>
        <v>8203</v>
      </c>
      <c r="H892" s="440">
        <f t="shared" si="232"/>
        <v>6644</v>
      </c>
      <c r="I892" s="440">
        <f t="shared" si="232"/>
        <v>7151</v>
      </c>
      <c r="J892" s="440">
        <f t="shared" si="232"/>
        <v>6717</v>
      </c>
      <c r="K892" s="440">
        <f t="shared" si="232"/>
        <v>7524</v>
      </c>
      <c r="L892" s="440">
        <f t="shared" si="232"/>
        <v>7174</v>
      </c>
      <c r="M892" s="440">
        <f t="shared" si="232"/>
        <v>8074</v>
      </c>
      <c r="N892" s="440">
        <f t="shared" si="232"/>
        <v>7571</v>
      </c>
      <c r="O892" s="440">
        <f t="shared" si="232"/>
        <v>8809</v>
      </c>
      <c r="P892" s="442">
        <f t="shared" si="232"/>
        <v>7564</v>
      </c>
    </row>
    <row r="893" spans="2:16" ht="15" customHeight="1">
      <c r="B893" s="474"/>
      <c r="C893" s="417" t="s">
        <v>318</v>
      </c>
      <c r="D893" s="430">
        <f t="shared" ref="D893:D900" si="233">E893+F893+G893+H893+I893+J893+K893+L893+M893+N893+O893+P893</f>
        <v>2959</v>
      </c>
      <c r="E893" s="431">
        <v>194</v>
      </c>
      <c r="F893" s="432">
        <v>225</v>
      </c>
      <c r="G893" s="432">
        <v>244</v>
      </c>
      <c r="H893" s="432">
        <v>209</v>
      </c>
      <c r="I893" s="432">
        <v>250</v>
      </c>
      <c r="J893" s="432">
        <v>268</v>
      </c>
      <c r="K893" s="432">
        <v>243</v>
      </c>
      <c r="L893" s="432">
        <v>327</v>
      </c>
      <c r="M893" s="432">
        <v>492</v>
      </c>
      <c r="N893" s="432">
        <v>268</v>
      </c>
      <c r="O893" s="432">
        <v>132</v>
      </c>
      <c r="P893" s="433">
        <v>107</v>
      </c>
    </row>
    <row r="894" spans="2:16" ht="15" customHeight="1">
      <c r="B894" s="474"/>
      <c r="C894" s="357" t="s">
        <v>319</v>
      </c>
      <c r="D894" s="430">
        <f t="shared" si="233"/>
        <v>3155</v>
      </c>
      <c r="E894" s="431">
        <v>286</v>
      </c>
      <c r="F894" s="432">
        <v>236</v>
      </c>
      <c r="G894" s="432">
        <v>545</v>
      </c>
      <c r="H894" s="432">
        <v>308</v>
      </c>
      <c r="I894" s="432">
        <v>355</v>
      </c>
      <c r="J894" s="432">
        <v>384</v>
      </c>
      <c r="K894" s="432">
        <v>325</v>
      </c>
      <c r="L894" s="432">
        <v>362</v>
      </c>
      <c r="M894" s="432">
        <v>342</v>
      </c>
      <c r="N894" s="432">
        <v>8</v>
      </c>
      <c r="O894" s="432">
        <v>1</v>
      </c>
      <c r="P894" s="433">
        <v>3</v>
      </c>
    </row>
    <row r="895" spans="2:16" ht="15" customHeight="1">
      <c r="B895" s="474"/>
      <c r="C895" s="357" t="s">
        <v>282</v>
      </c>
      <c r="D895" s="430">
        <f t="shared" si="233"/>
        <v>3457</v>
      </c>
      <c r="E895" s="431">
        <v>280</v>
      </c>
      <c r="F895" s="432">
        <v>306</v>
      </c>
      <c r="G895" s="432">
        <v>376</v>
      </c>
      <c r="H895" s="432">
        <v>338</v>
      </c>
      <c r="I895" s="432">
        <v>335</v>
      </c>
      <c r="J895" s="432">
        <v>383</v>
      </c>
      <c r="K895" s="432">
        <v>319</v>
      </c>
      <c r="L895" s="432">
        <v>289</v>
      </c>
      <c r="M895" s="432">
        <v>389</v>
      </c>
      <c r="N895" s="432">
        <v>123</v>
      </c>
      <c r="O895" s="432">
        <v>134</v>
      </c>
      <c r="P895" s="433">
        <v>185</v>
      </c>
    </row>
    <row r="896" spans="2:16" ht="15" customHeight="1">
      <c r="B896" s="474"/>
      <c r="C896" s="357" t="s">
        <v>320</v>
      </c>
      <c r="D896" s="430">
        <f t="shared" si="233"/>
        <v>27</v>
      </c>
      <c r="E896" s="431">
        <v>12</v>
      </c>
      <c r="F896" s="432">
        <v>15</v>
      </c>
      <c r="G896" s="432"/>
      <c r="H896" s="432"/>
      <c r="I896" s="432"/>
      <c r="J896" s="432"/>
      <c r="K896" s="432"/>
      <c r="L896" s="432"/>
      <c r="M896" s="432"/>
      <c r="N896" s="432"/>
      <c r="O896" s="432"/>
      <c r="P896" s="433"/>
    </row>
    <row r="897" spans="2:16" ht="15" customHeight="1">
      <c r="B897" s="474"/>
      <c r="C897" s="357" t="s">
        <v>283</v>
      </c>
      <c r="D897" s="430">
        <f t="shared" si="233"/>
        <v>1527</v>
      </c>
      <c r="E897" s="431">
        <v>124</v>
      </c>
      <c r="F897" s="432">
        <v>135</v>
      </c>
      <c r="G897" s="432">
        <v>155</v>
      </c>
      <c r="H897" s="432">
        <v>134</v>
      </c>
      <c r="I897" s="432">
        <v>107</v>
      </c>
      <c r="J897" s="432">
        <v>95</v>
      </c>
      <c r="K897" s="432">
        <v>157</v>
      </c>
      <c r="L897" s="432">
        <v>124</v>
      </c>
      <c r="M897" s="432">
        <v>82</v>
      </c>
      <c r="N897" s="432">
        <v>128</v>
      </c>
      <c r="O897" s="432">
        <v>133</v>
      </c>
      <c r="P897" s="433">
        <v>153</v>
      </c>
    </row>
    <row r="898" spans="2:16" ht="15" customHeight="1">
      <c r="B898" s="474"/>
      <c r="C898" s="357" t="s">
        <v>257</v>
      </c>
      <c r="D898" s="430">
        <f t="shared" si="233"/>
        <v>854</v>
      </c>
      <c r="E898" s="431">
        <v>44</v>
      </c>
      <c r="F898" s="432">
        <v>51</v>
      </c>
      <c r="G898" s="432">
        <v>95</v>
      </c>
      <c r="H898" s="432">
        <v>114</v>
      </c>
      <c r="I898" s="432">
        <v>98</v>
      </c>
      <c r="J898" s="432">
        <v>72</v>
      </c>
      <c r="K898" s="432">
        <v>70</v>
      </c>
      <c r="L898" s="432">
        <v>84</v>
      </c>
      <c r="M898" s="432">
        <v>74</v>
      </c>
      <c r="N898" s="432">
        <v>73</v>
      </c>
      <c r="O898" s="432">
        <v>60</v>
      </c>
      <c r="P898" s="433">
        <v>19</v>
      </c>
    </row>
    <row r="899" spans="2:16" ht="15" customHeight="1">
      <c r="B899" s="474"/>
      <c r="C899" s="357" t="s">
        <v>284</v>
      </c>
      <c r="D899" s="430">
        <f t="shared" si="233"/>
        <v>1060</v>
      </c>
      <c r="E899" s="431">
        <v>46</v>
      </c>
      <c r="F899" s="432">
        <f>6+74</f>
        <v>80</v>
      </c>
      <c r="G899" s="432">
        <f>10+129</f>
        <v>139</v>
      </c>
      <c r="H899" s="432">
        <f>1+99</f>
        <v>100</v>
      </c>
      <c r="I899" s="432">
        <f>14+95</f>
        <v>109</v>
      </c>
      <c r="J899" s="432">
        <f>6+74</f>
        <v>80</v>
      </c>
      <c r="K899" s="432">
        <f>2+67</f>
        <v>69</v>
      </c>
      <c r="L899" s="432">
        <f>4+74</f>
        <v>78</v>
      </c>
      <c r="M899" s="432">
        <f>83+110</f>
        <v>193</v>
      </c>
      <c r="N899" s="432">
        <f>5+80</f>
        <v>85</v>
      </c>
      <c r="O899" s="432">
        <f>4+25</f>
        <v>29</v>
      </c>
      <c r="P899" s="433">
        <f>4+48</f>
        <v>52</v>
      </c>
    </row>
    <row r="900" spans="2:16" ht="15" customHeight="1">
      <c r="B900" s="474"/>
      <c r="C900" s="364" t="s">
        <v>321</v>
      </c>
      <c r="D900" s="481">
        <f t="shared" si="233"/>
        <v>81</v>
      </c>
      <c r="E900" s="434">
        <v>18</v>
      </c>
      <c r="F900" s="435">
        <v>14</v>
      </c>
      <c r="G900" s="435">
        <v>33</v>
      </c>
      <c r="H900" s="435">
        <v>3</v>
      </c>
      <c r="I900" s="435">
        <v>1</v>
      </c>
      <c r="J900" s="435">
        <v>4</v>
      </c>
      <c r="K900" s="435">
        <v>4</v>
      </c>
      <c r="L900" s="435">
        <v>4</v>
      </c>
      <c r="M900" s="435">
        <v>0</v>
      </c>
      <c r="N900" s="435">
        <v>0</v>
      </c>
      <c r="O900" s="435">
        <v>0</v>
      </c>
      <c r="P900" s="436">
        <v>0</v>
      </c>
    </row>
    <row r="901" spans="2:16" ht="15" customHeight="1">
      <c r="B901" s="482"/>
      <c r="C901" s="361" t="s">
        <v>286</v>
      </c>
      <c r="D901" s="483">
        <f>SUM(D893:D900)</f>
        <v>13120</v>
      </c>
      <c r="E901" s="439">
        <f>SUM(E893:E900)</f>
        <v>1004</v>
      </c>
      <c r="F901" s="440">
        <f t="shared" ref="F901:P901" si="234">SUM(F893:F900)</f>
        <v>1062</v>
      </c>
      <c r="G901" s="440">
        <f t="shared" si="234"/>
        <v>1587</v>
      </c>
      <c r="H901" s="440">
        <f t="shared" si="234"/>
        <v>1206</v>
      </c>
      <c r="I901" s="440">
        <f t="shared" si="234"/>
        <v>1255</v>
      </c>
      <c r="J901" s="440">
        <f t="shared" si="234"/>
        <v>1286</v>
      </c>
      <c r="K901" s="440">
        <f t="shared" si="234"/>
        <v>1187</v>
      </c>
      <c r="L901" s="440">
        <f t="shared" si="234"/>
        <v>1268</v>
      </c>
      <c r="M901" s="440">
        <f t="shared" si="234"/>
        <v>1572</v>
      </c>
      <c r="N901" s="440">
        <f t="shared" si="234"/>
        <v>685</v>
      </c>
      <c r="O901" s="440">
        <f t="shared" si="234"/>
        <v>489</v>
      </c>
      <c r="P901" s="442">
        <f t="shared" si="234"/>
        <v>519</v>
      </c>
    </row>
    <row r="902" spans="2:16" ht="15" customHeight="1">
      <c r="B902" s="482"/>
      <c r="C902" s="361" t="s">
        <v>247</v>
      </c>
      <c r="D902" s="483">
        <f>E902+F902+G902+H902+I902+J902+K902+L902+M902+N902+O902+P902</f>
        <v>2290</v>
      </c>
      <c r="E902" s="439">
        <v>2</v>
      </c>
      <c r="F902" s="440">
        <v>30</v>
      </c>
      <c r="G902" s="440">
        <f>13+24+2</f>
        <v>39</v>
      </c>
      <c r="H902" s="440">
        <f>50+32+50</f>
        <v>132</v>
      </c>
      <c r="I902" s="440">
        <f>150+99+154</f>
        <v>403</v>
      </c>
      <c r="J902" s="440">
        <f>50+57+59+2</f>
        <v>168</v>
      </c>
      <c r="K902" s="440">
        <f>104+228+28+27+9</f>
        <v>396</v>
      </c>
      <c r="L902" s="440">
        <f>33+122+27</f>
        <v>182</v>
      </c>
      <c r="M902" s="440">
        <f>24+85+5+17+1</f>
        <v>132</v>
      </c>
      <c r="N902" s="440">
        <f>109+9+36</f>
        <v>154</v>
      </c>
      <c r="O902" s="440">
        <f>87+98+237+24</f>
        <v>446</v>
      </c>
      <c r="P902" s="442">
        <f>20+88+98</f>
        <v>206</v>
      </c>
    </row>
    <row r="903" spans="2:16" ht="15" customHeight="1">
      <c r="B903" s="474"/>
      <c r="C903" s="417" t="s">
        <v>271</v>
      </c>
      <c r="D903" s="430">
        <f>E903+F903+G903+H903+I903+J903+K903+L903+M903+N903+O903+P903</f>
        <v>22413</v>
      </c>
      <c r="E903" s="431">
        <v>2219</v>
      </c>
      <c r="F903" s="432">
        <v>2404</v>
      </c>
      <c r="G903" s="432">
        <v>2549</v>
      </c>
      <c r="H903" s="432">
        <v>1726</v>
      </c>
      <c r="I903" s="432">
        <v>2113</v>
      </c>
      <c r="J903" s="432">
        <v>1550</v>
      </c>
      <c r="K903" s="432">
        <v>2095</v>
      </c>
      <c r="L903" s="432">
        <v>1643</v>
      </c>
      <c r="M903" s="432">
        <v>1637</v>
      </c>
      <c r="N903" s="432">
        <v>1263</v>
      </c>
      <c r="O903" s="432">
        <v>1682</v>
      </c>
      <c r="P903" s="433">
        <v>1532</v>
      </c>
    </row>
    <row r="904" spans="2:16" ht="15" customHeight="1">
      <c r="B904" s="474"/>
      <c r="C904" s="357" t="s">
        <v>322</v>
      </c>
      <c r="D904" s="430">
        <f>E904+F904+G904+H904+I904+J904+K904+L904+M904+N904+O904+P904</f>
        <v>2</v>
      </c>
      <c r="E904" s="431">
        <v>2</v>
      </c>
      <c r="F904" s="432"/>
      <c r="G904" s="432"/>
      <c r="H904" s="432"/>
      <c r="I904" s="432"/>
      <c r="J904" s="432"/>
      <c r="K904" s="432"/>
      <c r="L904" s="432"/>
      <c r="M904" s="432"/>
      <c r="N904" s="432"/>
      <c r="O904" s="432"/>
      <c r="P904" s="433"/>
    </row>
    <row r="905" spans="2:16" ht="15" customHeight="1">
      <c r="B905" s="474"/>
      <c r="C905" s="357" t="s">
        <v>277</v>
      </c>
      <c r="D905" s="430">
        <f>E905+F905+G905+H905+I905+J905+K905+L905+M905+N905+O905+P905</f>
        <v>27747</v>
      </c>
      <c r="E905" s="431">
        <v>1984</v>
      </c>
      <c r="F905" s="432">
        <v>1842</v>
      </c>
      <c r="G905" s="432">
        <v>2702</v>
      </c>
      <c r="H905" s="432">
        <v>1596</v>
      </c>
      <c r="I905" s="432">
        <v>2696</v>
      </c>
      <c r="J905" s="432">
        <v>2445</v>
      </c>
      <c r="K905" s="432">
        <v>2810</v>
      </c>
      <c r="L905" s="432">
        <v>2236</v>
      </c>
      <c r="M905" s="432">
        <v>2126</v>
      </c>
      <c r="N905" s="432">
        <v>2037</v>
      </c>
      <c r="O905" s="432">
        <v>2867</v>
      </c>
      <c r="P905" s="433">
        <v>2406</v>
      </c>
    </row>
    <row r="906" spans="2:16" ht="15" customHeight="1">
      <c r="B906" s="474"/>
      <c r="C906" s="364" t="s">
        <v>323</v>
      </c>
      <c r="D906" s="481">
        <f>E906+F906+G906+H906+I906+J906+K906+L906+M906+N906+O906+P906</f>
        <v>445</v>
      </c>
      <c r="E906" s="434"/>
      <c r="F906" s="435"/>
      <c r="G906" s="435"/>
      <c r="H906" s="435"/>
      <c r="I906" s="435"/>
      <c r="J906" s="435"/>
      <c r="K906" s="435"/>
      <c r="L906" s="435"/>
      <c r="M906" s="435"/>
      <c r="N906" s="435">
        <v>83</v>
      </c>
      <c r="O906" s="435">
        <v>189</v>
      </c>
      <c r="P906" s="436">
        <v>173</v>
      </c>
    </row>
    <row r="907" spans="2:16" ht="15" customHeight="1" thickBot="1">
      <c r="B907" s="482"/>
      <c r="C907" s="447" t="s">
        <v>287</v>
      </c>
      <c r="D907" s="484">
        <f>SUM(D903:D906)</f>
        <v>50607</v>
      </c>
      <c r="E907" s="485">
        <f>SUM(E903:E906)</f>
        <v>4205</v>
      </c>
      <c r="F907" s="486">
        <f t="shared" ref="F907:P907" si="235">SUM(F903:F906)</f>
        <v>4246</v>
      </c>
      <c r="G907" s="486">
        <f t="shared" si="235"/>
        <v>5251</v>
      </c>
      <c r="H907" s="486">
        <f t="shared" si="235"/>
        <v>3322</v>
      </c>
      <c r="I907" s="486">
        <f t="shared" si="235"/>
        <v>4809</v>
      </c>
      <c r="J907" s="486">
        <f t="shared" si="235"/>
        <v>3995</v>
      </c>
      <c r="K907" s="486">
        <f t="shared" si="235"/>
        <v>4905</v>
      </c>
      <c r="L907" s="486">
        <f t="shared" si="235"/>
        <v>3879</v>
      </c>
      <c r="M907" s="486">
        <f t="shared" si="235"/>
        <v>3763</v>
      </c>
      <c r="N907" s="486">
        <f t="shared" si="235"/>
        <v>3383</v>
      </c>
      <c r="O907" s="486">
        <f t="shared" si="235"/>
        <v>4738</v>
      </c>
      <c r="P907" s="487">
        <f t="shared" si="235"/>
        <v>4111</v>
      </c>
    </row>
    <row r="908" spans="2:16" ht="15" customHeight="1" thickBot="1">
      <c r="B908" s="482"/>
      <c r="C908" s="452"/>
      <c r="D908" s="488">
        <f>D907+D902+D901+D892+D884+D879</f>
        <v>410300</v>
      </c>
      <c r="E908" s="454">
        <v>33491</v>
      </c>
      <c r="F908" s="455">
        <f>+F879+F884+F892+F901+F902+F907</f>
        <v>31044</v>
      </c>
      <c r="G908" s="455">
        <f t="shared" ref="G908:P908" si="236">G907+G902+G901+G892+G884+G879</f>
        <v>34198</v>
      </c>
      <c r="H908" s="455">
        <f t="shared" si="236"/>
        <v>28271</v>
      </c>
      <c r="I908" s="455">
        <f t="shared" si="236"/>
        <v>32593</v>
      </c>
      <c r="J908" s="455">
        <f t="shared" si="236"/>
        <v>29914</v>
      </c>
      <c r="K908" s="455">
        <f t="shared" si="236"/>
        <v>39476</v>
      </c>
      <c r="L908" s="455">
        <f t="shared" si="236"/>
        <v>39269</v>
      </c>
      <c r="M908" s="455">
        <f t="shared" si="236"/>
        <v>36371</v>
      </c>
      <c r="N908" s="455">
        <f t="shared" si="236"/>
        <v>33555</v>
      </c>
      <c r="O908" s="455">
        <f t="shared" si="236"/>
        <v>36879</v>
      </c>
      <c r="P908" s="456">
        <f t="shared" si="236"/>
        <v>35239</v>
      </c>
    </row>
    <row r="909" spans="2:16" ht="15" customHeight="1">
      <c r="B909" s="474"/>
      <c r="C909" s="489" t="s">
        <v>324</v>
      </c>
      <c r="D909" s="490">
        <f>E909+F909+G909+H909+I909+J909+K909+L909+M909+N909+O909+P909</f>
        <v>0</v>
      </c>
      <c r="E909" s="491"/>
      <c r="F909" s="492"/>
      <c r="G909" s="492"/>
      <c r="H909" s="492"/>
      <c r="I909" s="492"/>
      <c r="J909" s="492"/>
      <c r="K909" s="492"/>
      <c r="L909" s="492"/>
      <c r="M909" s="492"/>
      <c r="N909" s="492"/>
      <c r="O909" s="492"/>
      <c r="P909" s="493"/>
    </row>
    <row r="910" spans="2:16" ht="15" customHeight="1">
      <c r="B910" s="474"/>
      <c r="C910" s="489" t="s">
        <v>325</v>
      </c>
      <c r="D910" s="490">
        <f>E910+F910+G910+H910+I910+J910+K910+L910+M910+N910+O910+P910</f>
        <v>0</v>
      </c>
      <c r="E910" s="491"/>
      <c r="F910" s="492"/>
      <c r="G910" s="492"/>
      <c r="H910" s="492"/>
      <c r="I910" s="492"/>
      <c r="J910" s="492"/>
      <c r="K910" s="492"/>
      <c r="L910" s="492"/>
      <c r="M910" s="492"/>
      <c r="N910" s="492"/>
      <c r="O910" s="492"/>
      <c r="P910" s="493"/>
    </row>
    <row r="911" spans="2:16" ht="15" customHeight="1">
      <c r="B911" s="474"/>
      <c r="C911" s="489" t="s">
        <v>326</v>
      </c>
      <c r="D911" s="490">
        <f>E911+F911+G911+H911+I911+J911+K911+L911+M911+N911+O911+P911</f>
        <v>0</v>
      </c>
      <c r="E911" s="491"/>
      <c r="F911" s="492"/>
      <c r="G911" s="492"/>
      <c r="H911" s="492"/>
      <c r="I911" s="492"/>
      <c r="J911" s="492"/>
      <c r="K911" s="492"/>
      <c r="L911" s="492"/>
      <c r="M911" s="492"/>
      <c r="N911" s="492"/>
      <c r="O911" s="492"/>
      <c r="P911" s="493"/>
    </row>
    <row r="912" spans="2:16" ht="15" customHeight="1">
      <c r="B912" s="474"/>
      <c r="C912" s="494" t="s">
        <v>327</v>
      </c>
      <c r="D912" s="495">
        <f>E912+F912+G912+H912+I912+J912+K912+L912+M912+N912+O912+P912</f>
        <v>0</v>
      </c>
      <c r="E912" s="496"/>
      <c r="F912" s="497"/>
      <c r="G912" s="497"/>
      <c r="H912" s="497"/>
      <c r="I912" s="497"/>
      <c r="J912" s="497"/>
      <c r="K912" s="497"/>
      <c r="L912" s="497"/>
      <c r="M912" s="497"/>
      <c r="N912" s="497"/>
      <c r="O912" s="497"/>
      <c r="P912" s="498"/>
    </row>
    <row r="913" spans="2:16" ht="15" customHeight="1">
      <c r="B913" s="474"/>
      <c r="C913" s="494"/>
      <c r="D913" s="495">
        <f>SUM(D909:D912)</f>
        <v>0</v>
      </c>
      <c r="E913" s="496" t="s">
        <v>328</v>
      </c>
      <c r="F913" s="497">
        <f t="shared" ref="F913:P913" si="237">SUM(F909:F912)</f>
        <v>0</v>
      </c>
      <c r="G913" s="497">
        <f t="shared" si="237"/>
        <v>0</v>
      </c>
      <c r="H913" s="497">
        <f t="shared" si="237"/>
        <v>0</v>
      </c>
      <c r="I913" s="497">
        <f t="shared" si="237"/>
        <v>0</v>
      </c>
      <c r="J913" s="497">
        <f t="shared" si="237"/>
        <v>0</v>
      </c>
      <c r="K913" s="497">
        <f t="shared" si="237"/>
        <v>0</v>
      </c>
      <c r="L913" s="497">
        <f t="shared" si="237"/>
        <v>0</v>
      </c>
      <c r="M913" s="497">
        <f t="shared" si="237"/>
        <v>0</v>
      </c>
      <c r="N913" s="497">
        <f t="shared" si="237"/>
        <v>0</v>
      </c>
      <c r="O913" s="497">
        <f t="shared" si="237"/>
        <v>0</v>
      </c>
      <c r="P913" s="498">
        <f t="shared" si="237"/>
        <v>0</v>
      </c>
    </row>
    <row r="914" spans="2:16" ht="15" customHeight="1" thickBot="1">
      <c r="B914" s="371" t="s">
        <v>329</v>
      </c>
      <c r="C914" s="452"/>
      <c r="D914" s="488">
        <f>D908+D913</f>
        <v>410300</v>
      </c>
      <c r="E914" s="454">
        <f>SUM(E907+E902+E901+E892+E884+E879)</f>
        <v>33491</v>
      </c>
      <c r="F914" s="454">
        <f t="shared" ref="F914:P914" si="238">SUM(F907+F902+F901+F892+F884+F879)</f>
        <v>31044</v>
      </c>
      <c r="G914" s="454">
        <f t="shared" si="238"/>
        <v>34198</v>
      </c>
      <c r="H914" s="454">
        <f t="shared" si="238"/>
        <v>28271</v>
      </c>
      <c r="I914" s="454">
        <f t="shared" si="238"/>
        <v>32593</v>
      </c>
      <c r="J914" s="454">
        <f t="shared" si="238"/>
        <v>29914</v>
      </c>
      <c r="K914" s="454">
        <f t="shared" si="238"/>
        <v>39476</v>
      </c>
      <c r="L914" s="454">
        <f t="shared" si="238"/>
        <v>39269</v>
      </c>
      <c r="M914" s="454">
        <f t="shared" si="238"/>
        <v>36371</v>
      </c>
      <c r="N914" s="454">
        <f>SUM(N907+N902+N901+N892+N884+N879)</f>
        <v>33555</v>
      </c>
      <c r="O914" s="454">
        <f t="shared" si="238"/>
        <v>36879</v>
      </c>
      <c r="P914" s="454">
        <f t="shared" si="238"/>
        <v>35239</v>
      </c>
    </row>
  </sheetData>
  <mergeCells count="96">
    <mergeCell ref="B24:C24"/>
    <mergeCell ref="B78:C78"/>
    <mergeCell ref="B25:B27"/>
    <mergeCell ref="B79:B81"/>
    <mergeCell ref="B59:B66"/>
    <mergeCell ref="B67:B74"/>
    <mergeCell ref="B75:B77"/>
    <mergeCell ref="B82:C82"/>
    <mergeCell ref="B231:B238"/>
    <mergeCell ref="B112:B119"/>
    <mergeCell ref="B120:B129"/>
    <mergeCell ref="B130:B133"/>
    <mergeCell ref="B134:C134"/>
    <mergeCell ref="B249:B252"/>
    <mergeCell ref="B406:B413"/>
    <mergeCell ref="B378:B385"/>
    <mergeCell ref="B253:C253"/>
    <mergeCell ref="B173:B180"/>
    <mergeCell ref="B181:B190"/>
    <mergeCell ref="B191:B194"/>
    <mergeCell ref="B195:C195"/>
    <mergeCell ref="B351:C351"/>
    <mergeCell ref="B370:B377"/>
    <mergeCell ref="B239:B248"/>
    <mergeCell ref="B338:B346"/>
    <mergeCell ref="B347:B350"/>
    <mergeCell ref="B278:B285"/>
    <mergeCell ref="B286:B295"/>
    <mergeCell ref="B296:B299"/>
    <mergeCell ref="B386:B389"/>
    <mergeCell ref="B300:C300"/>
    <mergeCell ref="B329:B337"/>
    <mergeCell ref="B423:B426"/>
    <mergeCell ref="B414:B422"/>
    <mergeCell ref="B502:C502"/>
    <mergeCell ref="B390:C390"/>
    <mergeCell ref="B479:C479"/>
    <mergeCell ref="B480:B488"/>
    <mergeCell ref="B489:B497"/>
    <mergeCell ref="B427:C427"/>
    <mergeCell ref="B463:B466"/>
    <mergeCell ref="B467:C467"/>
    <mergeCell ref="B498:B501"/>
    <mergeCell ref="B445:C445"/>
    <mergeCell ref="B446:B453"/>
    <mergeCell ref="B454:B462"/>
    <mergeCell ref="B538:C538"/>
    <mergeCell ref="B525:B533"/>
    <mergeCell ref="B534:B537"/>
    <mergeCell ref="B570:B573"/>
    <mergeCell ref="B513:B524"/>
    <mergeCell ref="B644:B650"/>
    <mergeCell ref="B651:B657"/>
    <mergeCell ref="B574:C574"/>
    <mergeCell ref="B548:C548"/>
    <mergeCell ref="B561:B569"/>
    <mergeCell ref="B702:B705"/>
    <mergeCell ref="B706:C706"/>
    <mergeCell ref="B658:B661"/>
    <mergeCell ref="B549:B560"/>
    <mergeCell ref="B512:C512"/>
    <mergeCell ref="B618:C618"/>
    <mergeCell ref="B619:B626"/>
    <mergeCell ref="B627:B634"/>
    <mergeCell ref="B635:B638"/>
    <mergeCell ref="B608:C608"/>
    <mergeCell ref="B584:C584"/>
    <mergeCell ref="B585:B594"/>
    <mergeCell ref="B595:B603"/>
    <mergeCell ref="B604:B607"/>
    <mergeCell ref="B639:C639"/>
    <mergeCell ref="B643:C643"/>
    <mergeCell ref="B868:C868"/>
    <mergeCell ref="B730:C730"/>
    <mergeCell ref="B734:C734"/>
    <mergeCell ref="B754:C754"/>
    <mergeCell ref="B755:C755"/>
    <mergeCell ref="B759:C759"/>
    <mergeCell ref="B785:C785"/>
    <mergeCell ref="B789:C789"/>
    <mergeCell ref="B5:B12"/>
    <mergeCell ref="B13:B20"/>
    <mergeCell ref="B21:B23"/>
    <mergeCell ref="B28:C28"/>
    <mergeCell ref="B823:C823"/>
    <mergeCell ref="B662:C662"/>
    <mergeCell ref="B710:C710"/>
    <mergeCell ref="B729:C729"/>
    <mergeCell ref="B666:C666"/>
    <mergeCell ref="B667:B672"/>
    <mergeCell ref="B673:B677"/>
    <mergeCell ref="B678:B681"/>
    <mergeCell ref="B682:C682"/>
    <mergeCell ref="B686:C686"/>
    <mergeCell ref="B687:B693"/>
    <mergeCell ref="B694:B701"/>
  </mergeCells>
  <phoneticPr fontId="2" type="noConversion"/>
  <printOptions horizontalCentered="1"/>
  <pageMargins left="0.23622047244094491" right="0.23622047244094491" top="0.59055118110236227" bottom="0.39370078740157483" header="0.31496062992125984" footer="0.19685039370078741"/>
  <pageSetup paperSize="9" scale="85" orientation="portrait" r:id="rId1"/>
  <headerFooter alignWithMargins="0"/>
  <ignoredErrors>
    <ignoredError sqref="H146 P129 P190 P248 P295 P74" formula="1"/>
    <ignoredError sqref="D119:P119 D180:P180 D238:P238 D285:P285 D66:O66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03"/>
  <sheetViews>
    <sheetView showGridLines="0" view="pageBreakPreview" topLeftCell="A13" zoomScale="115" zoomScaleNormal="130" zoomScaleSheetLayoutView="115" workbookViewId="0">
      <selection activeCell="M23" sqref="M23"/>
    </sheetView>
  </sheetViews>
  <sheetFormatPr defaultColWidth="8.8984375" defaultRowHeight="17.399999999999999"/>
  <cols>
    <col min="1" max="1" width="7.59765625" style="199" customWidth="1"/>
    <col min="2" max="2" width="6.296875" style="76" customWidth="1"/>
    <col min="3" max="3" width="9.59765625" style="199" customWidth="1"/>
    <col min="4" max="4" width="7.8984375" style="199" customWidth="1"/>
    <col min="5" max="5" width="10" style="199" customWidth="1"/>
    <col min="6" max="6" width="9.59765625" style="199" customWidth="1"/>
    <col min="7" max="7" width="7.8984375" style="199" customWidth="1"/>
    <col min="8" max="8" width="10" style="199" customWidth="1"/>
    <col min="9" max="9" width="9.59765625" style="199" customWidth="1"/>
    <col min="10" max="10" width="7.8984375" style="199" customWidth="1"/>
    <col min="11" max="11" width="10" style="199" customWidth="1"/>
    <col min="12" max="12" width="6.09765625" style="200" customWidth="1"/>
    <col min="13" max="13" width="11.09765625" style="199" bestFit="1" customWidth="1"/>
    <col min="14" max="14" width="8.5" style="199" bestFit="1" customWidth="1"/>
    <col min="15" max="15" width="9.5" style="199" bestFit="1" customWidth="1"/>
    <col min="16" max="16" width="7.796875" style="199" customWidth="1"/>
    <col min="17" max="17" width="9.5" style="199" bestFit="1" customWidth="1"/>
    <col min="18" max="16384" width="8.8984375" style="199"/>
  </cols>
  <sheetData>
    <row r="1" spans="1:17" ht="27.6" customHeight="1">
      <c r="A1" s="779" t="s">
        <v>1</v>
      </c>
      <c r="B1" s="780"/>
      <c r="C1" s="754" t="s">
        <v>5</v>
      </c>
      <c r="D1" s="755"/>
      <c r="E1" s="756"/>
      <c r="F1" s="757" t="s">
        <v>105</v>
      </c>
      <c r="G1" s="758"/>
      <c r="H1" s="759"/>
      <c r="I1" s="760" t="s">
        <v>6</v>
      </c>
      <c r="J1" s="761"/>
      <c r="K1" s="762"/>
    </row>
    <row r="2" spans="1:17" ht="18" thickBot="1">
      <c r="A2" s="781"/>
      <c r="B2" s="782"/>
      <c r="C2" s="619" t="s">
        <v>368</v>
      </c>
      <c r="D2" s="618" t="s">
        <v>39</v>
      </c>
      <c r="E2" s="612"/>
      <c r="F2" s="624" t="s">
        <v>368</v>
      </c>
      <c r="G2" s="618" t="s">
        <v>39</v>
      </c>
      <c r="H2" s="613"/>
      <c r="I2" s="629" t="s">
        <v>368</v>
      </c>
      <c r="J2" s="618" t="s">
        <v>39</v>
      </c>
      <c r="K2" s="601"/>
    </row>
    <row r="3" spans="1:17" ht="20.399999999999999" customHeight="1">
      <c r="A3" s="765" t="s">
        <v>362</v>
      </c>
      <c r="B3" s="596">
        <v>1</v>
      </c>
      <c r="C3" s="620">
        <f>국내2!D24</f>
        <v>38678</v>
      </c>
      <c r="D3" s="597">
        <f>국내2!D27</f>
        <v>75</v>
      </c>
      <c r="E3" s="608">
        <f>C3+D3</f>
        <v>38753</v>
      </c>
      <c r="F3" s="625">
        <v>196124</v>
      </c>
      <c r="G3" s="597">
        <v>228</v>
      </c>
      <c r="H3" s="604">
        <f>F3+G3</f>
        <v>196352</v>
      </c>
      <c r="I3" s="630">
        <f t="shared" ref="I3:I14" si="0">C3+F3</f>
        <v>234802</v>
      </c>
      <c r="J3" s="597">
        <f>D3+G3</f>
        <v>303</v>
      </c>
      <c r="K3" s="602">
        <f>I3+J3</f>
        <v>235105</v>
      </c>
      <c r="M3" s="590"/>
      <c r="O3" s="590"/>
      <c r="Q3" s="590"/>
    </row>
    <row r="4" spans="1:17" ht="20.399999999999999" customHeight="1">
      <c r="A4" s="765"/>
      <c r="B4" s="205">
        <v>2</v>
      </c>
      <c r="C4" s="621">
        <f>국내2!E24</f>
        <v>50016</v>
      </c>
      <c r="D4" s="598">
        <f>국내2!E27</f>
        <v>89</v>
      </c>
      <c r="E4" s="608">
        <f t="shared" ref="E4:E14" si="1">C4+D4</f>
        <v>50105</v>
      </c>
      <c r="F4" s="625">
        <v>203708</v>
      </c>
      <c r="G4" s="597">
        <v>214</v>
      </c>
      <c r="H4" s="604">
        <f t="shared" ref="H4:H14" si="2">F4+G4</f>
        <v>203922</v>
      </c>
      <c r="I4" s="630">
        <f t="shared" si="0"/>
        <v>253724</v>
      </c>
      <c r="J4" s="597">
        <f t="shared" ref="J4:J14" si="3">D4+G4</f>
        <v>303</v>
      </c>
      <c r="K4" s="616">
        <f t="shared" ref="K4:K14" si="4">I4+J4</f>
        <v>254027</v>
      </c>
    </row>
    <row r="5" spans="1:17" ht="20.399999999999999" customHeight="1">
      <c r="A5" s="765"/>
      <c r="B5" s="205">
        <v>3</v>
      </c>
      <c r="C5" s="621">
        <f>국내2!F24</f>
        <v>0</v>
      </c>
      <c r="D5" s="598">
        <f>국내2!F27</f>
        <v>0</v>
      </c>
      <c r="E5" s="609">
        <f t="shared" si="1"/>
        <v>0</v>
      </c>
      <c r="F5" s="626"/>
      <c r="G5" s="598"/>
      <c r="H5" s="605">
        <f t="shared" si="2"/>
        <v>0</v>
      </c>
      <c r="I5" s="631">
        <f t="shared" si="0"/>
        <v>0</v>
      </c>
      <c r="J5" s="598">
        <f t="shared" si="3"/>
        <v>0</v>
      </c>
      <c r="K5" s="616">
        <f t="shared" si="4"/>
        <v>0</v>
      </c>
    </row>
    <row r="6" spans="1:17" ht="20.399999999999999" customHeight="1">
      <c r="A6" s="765"/>
      <c r="B6" s="205">
        <v>4</v>
      </c>
      <c r="C6" s="621">
        <f>국내2!G24</f>
        <v>0</v>
      </c>
      <c r="D6" s="598">
        <f>국내2!G27</f>
        <v>0</v>
      </c>
      <c r="E6" s="609">
        <f t="shared" si="1"/>
        <v>0</v>
      </c>
      <c r="F6" s="626"/>
      <c r="G6" s="598"/>
      <c r="H6" s="605">
        <f t="shared" si="2"/>
        <v>0</v>
      </c>
      <c r="I6" s="631">
        <f t="shared" si="0"/>
        <v>0</v>
      </c>
      <c r="J6" s="598">
        <f t="shared" si="3"/>
        <v>0</v>
      </c>
      <c r="K6" s="616">
        <f t="shared" si="4"/>
        <v>0</v>
      </c>
    </row>
    <row r="7" spans="1:17" ht="20.399999999999999" customHeight="1">
      <c r="A7" s="765"/>
      <c r="B7" s="205">
        <v>5</v>
      </c>
      <c r="C7" s="621">
        <f>국내2!H24</f>
        <v>0</v>
      </c>
      <c r="D7" s="598">
        <f>국내2!H27</f>
        <v>0</v>
      </c>
      <c r="E7" s="609">
        <f t="shared" si="1"/>
        <v>0</v>
      </c>
      <c r="F7" s="626"/>
      <c r="G7" s="598"/>
      <c r="H7" s="605">
        <f t="shared" si="2"/>
        <v>0</v>
      </c>
      <c r="I7" s="631">
        <f t="shared" si="0"/>
        <v>0</v>
      </c>
      <c r="J7" s="598">
        <f t="shared" si="3"/>
        <v>0</v>
      </c>
      <c r="K7" s="616">
        <f t="shared" si="4"/>
        <v>0</v>
      </c>
    </row>
    <row r="8" spans="1:17" ht="20.399999999999999" customHeight="1">
      <c r="A8" s="765"/>
      <c r="B8" s="205">
        <v>6</v>
      </c>
      <c r="C8" s="621">
        <f>국내2!I24</f>
        <v>0</v>
      </c>
      <c r="D8" s="598">
        <f>국내2!I27</f>
        <v>0</v>
      </c>
      <c r="E8" s="609">
        <f t="shared" si="1"/>
        <v>0</v>
      </c>
      <c r="F8" s="626"/>
      <c r="G8" s="598"/>
      <c r="H8" s="605">
        <f t="shared" si="2"/>
        <v>0</v>
      </c>
      <c r="I8" s="631">
        <f t="shared" si="0"/>
        <v>0</v>
      </c>
      <c r="J8" s="598">
        <f t="shared" si="3"/>
        <v>0</v>
      </c>
      <c r="K8" s="602">
        <f t="shared" si="4"/>
        <v>0</v>
      </c>
    </row>
    <row r="9" spans="1:17" ht="20.399999999999999" customHeight="1">
      <c r="A9" s="765"/>
      <c r="B9" s="205">
        <v>7</v>
      </c>
      <c r="C9" s="621">
        <f>국내2!J24</f>
        <v>0</v>
      </c>
      <c r="D9" s="598">
        <f>국내2!J27</f>
        <v>0</v>
      </c>
      <c r="E9" s="609">
        <f t="shared" si="1"/>
        <v>0</v>
      </c>
      <c r="F9" s="626"/>
      <c r="G9" s="598"/>
      <c r="H9" s="605">
        <f t="shared" si="2"/>
        <v>0</v>
      </c>
      <c r="I9" s="631">
        <f t="shared" si="0"/>
        <v>0</v>
      </c>
      <c r="J9" s="598">
        <f t="shared" si="3"/>
        <v>0</v>
      </c>
      <c r="K9" s="616">
        <f t="shared" si="4"/>
        <v>0</v>
      </c>
    </row>
    <row r="10" spans="1:17" ht="20.399999999999999" customHeight="1">
      <c r="A10" s="765"/>
      <c r="B10" s="205">
        <v>8</v>
      </c>
      <c r="C10" s="621">
        <f>국내2!K24</f>
        <v>0</v>
      </c>
      <c r="D10" s="598">
        <f>국내2!K27</f>
        <v>0</v>
      </c>
      <c r="E10" s="609">
        <f t="shared" si="1"/>
        <v>0</v>
      </c>
      <c r="F10" s="626"/>
      <c r="G10" s="598"/>
      <c r="H10" s="605">
        <f t="shared" si="2"/>
        <v>0</v>
      </c>
      <c r="I10" s="631">
        <f t="shared" si="0"/>
        <v>0</v>
      </c>
      <c r="J10" s="598">
        <f t="shared" si="3"/>
        <v>0</v>
      </c>
      <c r="K10" s="616">
        <f t="shared" si="4"/>
        <v>0</v>
      </c>
    </row>
    <row r="11" spans="1:17" ht="20.399999999999999" customHeight="1">
      <c r="A11" s="765"/>
      <c r="B11" s="205">
        <v>9</v>
      </c>
      <c r="C11" s="621">
        <f>국내2!L24</f>
        <v>0</v>
      </c>
      <c r="D11" s="598">
        <f>국내2!L27</f>
        <v>0</v>
      </c>
      <c r="E11" s="609">
        <f t="shared" si="1"/>
        <v>0</v>
      </c>
      <c r="F11" s="626"/>
      <c r="G11" s="598"/>
      <c r="H11" s="605">
        <f t="shared" si="2"/>
        <v>0</v>
      </c>
      <c r="I11" s="631">
        <f t="shared" si="0"/>
        <v>0</v>
      </c>
      <c r="J11" s="598">
        <f t="shared" si="3"/>
        <v>0</v>
      </c>
      <c r="K11" s="616">
        <f t="shared" si="4"/>
        <v>0</v>
      </c>
    </row>
    <row r="12" spans="1:17" ht="20.399999999999999" customHeight="1">
      <c r="A12" s="765"/>
      <c r="B12" s="205">
        <v>10</v>
      </c>
      <c r="C12" s="621">
        <f>국내2!M24</f>
        <v>0</v>
      </c>
      <c r="D12" s="598">
        <f>국내2!M27</f>
        <v>0</v>
      </c>
      <c r="E12" s="609">
        <f t="shared" si="1"/>
        <v>0</v>
      </c>
      <c r="F12" s="626"/>
      <c r="G12" s="598"/>
      <c r="H12" s="605">
        <f t="shared" si="2"/>
        <v>0</v>
      </c>
      <c r="I12" s="631">
        <f t="shared" si="0"/>
        <v>0</v>
      </c>
      <c r="J12" s="598">
        <f t="shared" si="3"/>
        <v>0</v>
      </c>
      <c r="K12" s="616">
        <f t="shared" si="4"/>
        <v>0</v>
      </c>
    </row>
    <row r="13" spans="1:17" ht="20.399999999999999" customHeight="1">
      <c r="A13" s="765"/>
      <c r="B13" s="205">
        <v>11</v>
      </c>
      <c r="C13" s="621">
        <f>국내2!N24</f>
        <v>0</v>
      </c>
      <c r="D13" s="598">
        <f>국내2!N27</f>
        <v>0</v>
      </c>
      <c r="E13" s="609">
        <f t="shared" si="1"/>
        <v>0</v>
      </c>
      <c r="F13" s="626"/>
      <c r="G13" s="598"/>
      <c r="H13" s="605">
        <f t="shared" si="2"/>
        <v>0</v>
      </c>
      <c r="I13" s="631">
        <f t="shared" si="0"/>
        <v>0</v>
      </c>
      <c r="J13" s="598">
        <f t="shared" si="3"/>
        <v>0</v>
      </c>
      <c r="K13" s="602">
        <f t="shared" si="4"/>
        <v>0</v>
      </c>
    </row>
    <row r="14" spans="1:17" ht="20.399999999999999" customHeight="1" thickBot="1">
      <c r="A14" s="765"/>
      <c r="B14" s="209">
        <v>12</v>
      </c>
      <c r="C14" s="622">
        <f>국내2!O24</f>
        <v>0</v>
      </c>
      <c r="D14" s="599">
        <f>국내2!O27</f>
        <v>0</v>
      </c>
      <c r="E14" s="610">
        <f t="shared" si="1"/>
        <v>0</v>
      </c>
      <c r="F14" s="627"/>
      <c r="G14" s="599"/>
      <c r="H14" s="606">
        <f t="shared" si="2"/>
        <v>0</v>
      </c>
      <c r="I14" s="632">
        <f t="shared" si="0"/>
        <v>0</v>
      </c>
      <c r="J14" s="599">
        <f t="shared" si="3"/>
        <v>0</v>
      </c>
      <c r="K14" s="617">
        <f t="shared" si="4"/>
        <v>0</v>
      </c>
    </row>
    <row r="15" spans="1:17" ht="26.4" customHeight="1" thickTop="1" thickBot="1">
      <c r="A15" s="766"/>
      <c r="B15" s="255" t="s">
        <v>6</v>
      </c>
      <c r="C15" s="623">
        <f>SUM(C3:C14)</f>
        <v>88694</v>
      </c>
      <c r="D15" s="600">
        <f>SUM(D3:D14)</f>
        <v>164</v>
      </c>
      <c r="E15" s="611">
        <f t="shared" ref="E15:K15" si="5">SUM(E3:E14)</f>
        <v>88858</v>
      </c>
      <c r="F15" s="628">
        <f t="shared" si="5"/>
        <v>399832</v>
      </c>
      <c r="G15" s="600">
        <f t="shared" si="5"/>
        <v>442</v>
      </c>
      <c r="H15" s="607">
        <f t="shared" si="5"/>
        <v>400274</v>
      </c>
      <c r="I15" s="633">
        <f t="shared" si="5"/>
        <v>488526</v>
      </c>
      <c r="J15" s="600">
        <f t="shared" si="5"/>
        <v>606</v>
      </c>
      <c r="K15" s="603">
        <f t="shared" si="5"/>
        <v>489132</v>
      </c>
    </row>
    <row r="16" spans="1:17" ht="26.4" customHeight="1" thickBot="1"/>
    <row r="17" spans="1:17" ht="27.6" customHeight="1">
      <c r="A17" s="779" t="s">
        <v>1</v>
      </c>
      <c r="B17" s="780"/>
      <c r="C17" s="754" t="s">
        <v>5</v>
      </c>
      <c r="D17" s="755"/>
      <c r="E17" s="756"/>
      <c r="F17" s="757" t="s">
        <v>105</v>
      </c>
      <c r="G17" s="758"/>
      <c r="H17" s="759"/>
      <c r="I17" s="760" t="s">
        <v>6</v>
      </c>
      <c r="J17" s="761"/>
      <c r="K17" s="762"/>
    </row>
    <row r="18" spans="1:17" ht="17.399999999999999" customHeight="1" thickBot="1">
      <c r="A18" s="781"/>
      <c r="B18" s="782"/>
      <c r="C18" s="619" t="s">
        <v>368</v>
      </c>
      <c r="D18" s="618" t="s">
        <v>39</v>
      </c>
      <c r="E18" s="612"/>
      <c r="F18" s="624" t="s">
        <v>368</v>
      </c>
      <c r="G18" s="618" t="s">
        <v>39</v>
      </c>
      <c r="H18" s="613"/>
      <c r="I18" s="629" t="s">
        <v>368</v>
      </c>
      <c r="J18" s="618" t="s">
        <v>39</v>
      </c>
      <c r="K18" s="601"/>
    </row>
    <row r="19" spans="1:17" ht="20.399999999999999" customHeight="1">
      <c r="A19" s="765" t="s">
        <v>351</v>
      </c>
      <c r="B19" s="596">
        <v>1</v>
      </c>
      <c r="C19" s="620">
        <f>국내2!D78</f>
        <v>36915</v>
      </c>
      <c r="D19" s="597">
        <f>국내2!D81</f>
        <v>123</v>
      </c>
      <c r="E19" s="608">
        <f>C19+D19</f>
        <v>37038</v>
      </c>
      <c r="F19" s="625">
        <v>176105</v>
      </c>
      <c r="G19" s="597">
        <v>96</v>
      </c>
      <c r="H19" s="604">
        <f>F19+G19</f>
        <v>176201</v>
      </c>
      <c r="I19" s="630">
        <f t="shared" ref="I19:I30" si="6">C19+F19</f>
        <v>213020</v>
      </c>
      <c r="J19" s="597">
        <f>D19+G19</f>
        <v>219</v>
      </c>
      <c r="K19" s="602">
        <f>I19+J19</f>
        <v>213239</v>
      </c>
      <c r="M19" s="590"/>
      <c r="O19" s="590"/>
      <c r="Q19" s="590"/>
    </row>
    <row r="20" spans="1:17" ht="20.399999999999999" customHeight="1">
      <c r="A20" s="765"/>
      <c r="B20" s="205">
        <v>2</v>
      </c>
      <c r="C20" s="621">
        <f>국내2!E78</f>
        <v>39413</v>
      </c>
      <c r="D20" s="598">
        <f>국내2!E81</f>
        <v>147</v>
      </c>
      <c r="E20" s="608">
        <f t="shared" ref="E20:E30" si="7">C20+D20</f>
        <v>39560</v>
      </c>
      <c r="F20" s="625">
        <v>181910</v>
      </c>
      <c r="G20" s="597">
        <v>2</v>
      </c>
      <c r="H20" s="604">
        <f t="shared" ref="H20:H30" si="8">F20+G20</f>
        <v>181912</v>
      </c>
      <c r="I20" s="630">
        <f t="shared" si="6"/>
        <v>221323</v>
      </c>
      <c r="J20" s="597">
        <f t="shared" ref="J20:K31" si="9">D20+G20</f>
        <v>149</v>
      </c>
      <c r="K20" s="616">
        <f t="shared" ref="K20:K30" si="10">I20+J20</f>
        <v>221472</v>
      </c>
      <c r="M20" s="590"/>
      <c r="O20" s="508"/>
      <c r="P20" s="508"/>
      <c r="Q20" s="508"/>
    </row>
    <row r="21" spans="1:17" ht="20.399999999999999" customHeight="1">
      <c r="A21" s="765"/>
      <c r="B21" s="205">
        <v>3</v>
      </c>
      <c r="C21" s="621">
        <f>국내2!F78</f>
        <v>45025</v>
      </c>
      <c r="D21" s="598">
        <f>국내2!F81</f>
        <v>41</v>
      </c>
      <c r="E21" s="609">
        <f t="shared" si="7"/>
        <v>45066</v>
      </c>
      <c r="F21" s="626">
        <v>205881</v>
      </c>
      <c r="G21" s="598">
        <v>80</v>
      </c>
      <c r="H21" s="605">
        <f t="shared" si="8"/>
        <v>205961</v>
      </c>
      <c r="I21" s="631">
        <f t="shared" si="6"/>
        <v>250906</v>
      </c>
      <c r="J21" s="598">
        <f t="shared" si="9"/>
        <v>121</v>
      </c>
      <c r="K21" s="602">
        <f t="shared" si="10"/>
        <v>251027</v>
      </c>
      <c r="M21" s="590"/>
      <c r="O21" s="508"/>
      <c r="P21" s="508"/>
      <c r="Q21" s="508"/>
    </row>
    <row r="22" spans="1:17" ht="20.399999999999999" customHeight="1">
      <c r="A22" s="765"/>
      <c r="B22" s="205">
        <v>4</v>
      </c>
      <c r="C22" s="621">
        <f>국내2!G78</f>
        <v>49969</v>
      </c>
      <c r="D22" s="598">
        <f>국내2!G81</f>
        <v>126</v>
      </c>
      <c r="E22" s="609">
        <f t="shared" si="7"/>
        <v>50095</v>
      </c>
      <c r="F22" s="626">
        <v>189329</v>
      </c>
      <c r="G22" s="598">
        <v>115</v>
      </c>
      <c r="H22" s="605">
        <f t="shared" si="8"/>
        <v>189444</v>
      </c>
      <c r="I22" s="631">
        <f t="shared" si="6"/>
        <v>239298</v>
      </c>
      <c r="J22" s="598">
        <f t="shared" si="9"/>
        <v>241</v>
      </c>
      <c r="K22" s="616">
        <f t="shared" si="10"/>
        <v>239539</v>
      </c>
      <c r="M22" s="590"/>
      <c r="O22" s="508"/>
      <c r="P22" s="508"/>
      <c r="Q22" s="508"/>
    </row>
    <row r="23" spans="1:17" ht="20.399999999999999" customHeight="1">
      <c r="A23" s="765"/>
      <c r="B23" s="205">
        <v>5</v>
      </c>
      <c r="C23" s="621">
        <f>국내2!H78</f>
        <v>45577</v>
      </c>
      <c r="D23" s="598">
        <f>국내2!H81</f>
        <v>86</v>
      </c>
      <c r="E23" s="609">
        <f t="shared" si="7"/>
        <v>45663</v>
      </c>
      <c r="F23" s="626">
        <v>188994</v>
      </c>
      <c r="G23" s="598">
        <v>72</v>
      </c>
      <c r="H23" s="605">
        <f t="shared" si="8"/>
        <v>189066</v>
      </c>
      <c r="I23" s="631">
        <f t="shared" si="6"/>
        <v>234571</v>
      </c>
      <c r="J23" s="598">
        <f t="shared" si="9"/>
        <v>158</v>
      </c>
      <c r="K23" s="616">
        <f t="shared" si="10"/>
        <v>234729</v>
      </c>
      <c r="M23" s="590"/>
      <c r="O23" s="508"/>
      <c r="P23" s="508"/>
      <c r="Q23" s="508"/>
    </row>
    <row r="24" spans="1:17" ht="20.399999999999999" customHeight="1">
      <c r="A24" s="765"/>
      <c r="B24" s="205">
        <v>6</v>
      </c>
      <c r="C24" s="621">
        <f>국내2!I78</f>
        <v>45016</v>
      </c>
      <c r="D24" s="598">
        <f>국내2!I81</f>
        <v>94</v>
      </c>
      <c r="E24" s="609">
        <f t="shared" si="7"/>
        <v>45110</v>
      </c>
      <c r="F24" s="626">
        <v>214276</v>
      </c>
      <c r="G24" s="598">
        <v>94</v>
      </c>
      <c r="H24" s="605">
        <f t="shared" si="8"/>
        <v>214370</v>
      </c>
      <c r="I24" s="631">
        <f t="shared" si="6"/>
        <v>259292</v>
      </c>
      <c r="J24" s="598">
        <f t="shared" si="9"/>
        <v>188</v>
      </c>
      <c r="K24" s="602">
        <f t="shared" si="10"/>
        <v>259480</v>
      </c>
      <c r="M24" s="590"/>
      <c r="O24" s="508"/>
      <c r="P24" s="508"/>
      <c r="Q24" s="508"/>
    </row>
    <row r="25" spans="1:17" ht="20.399999999999999" customHeight="1">
      <c r="A25" s="765"/>
      <c r="B25" s="205">
        <v>7</v>
      </c>
      <c r="C25" s="621">
        <f>국내2!J78</f>
        <v>51120</v>
      </c>
      <c r="D25" s="598">
        <f>국내2!J81</f>
        <v>235</v>
      </c>
      <c r="E25" s="609">
        <f t="shared" si="7"/>
        <v>51355</v>
      </c>
      <c r="F25" s="626">
        <v>208208</v>
      </c>
      <c r="G25" s="598">
        <v>170</v>
      </c>
      <c r="H25" s="605">
        <f t="shared" si="8"/>
        <v>208378</v>
      </c>
      <c r="I25" s="631">
        <f t="shared" si="6"/>
        <v>259328</v>
      </c>
      <c r="J25" s="598">
        <f t="shared" si="9"/>
        <v>405</v>
      </c>
      <c r="K25" s="615">
        <f t="shared" si="10"/>
        <v>259733</v>
      </c>
      <c r="M25" s="590"/>
      <c r="O25" s="508"/>
      <c r="P25" s="508"/>
      <c r="Q25" s="508"/>
    </row>
    <row r="26" spans="1:17" ht="20.399999999999999" customHeight="1">
      <c r="A26" s="765"/>
      <c r="B26" s="205">
        <v>8</v>
      </c>
      <c r="C26" s="621">
        <f>국내2!K78</f>
        <v>41240</v>
      </c>
      <c r="D26" s="598">
        <f>국내2!K81</f>
        <v>164</v>
      </c>
      <c r="E26" s="609">
        <f t="shared" si="7"/>
        <v>41404</v>
      </c>
      <c r="F26" s="626">
        <v>201135</v>
      </c>
      <c r="G26" s="598">
        <v>322</v>
      </c>
      <c r="H26" s="605">
        <f t="shared" si="8"/>
        <v>201457</v>
      </c>
      <c r="I26" s="631">
        <f t="shared" si="6"/>
        <v>242375</v>
      </c>
      <c r="J26" s="598">
        <f t="shared" si="9"/>
        <v>486</v>
      </c>
      <c r="K26" s="615">
        <f t="shared" si="10"/>
        <v>242861</v>
      </c>
      <c r="M26" s="590"/>
      <c r="O26" s="508"/>
      <c r="P26" s="508"/>
      <c r="Q26" s="508"/>
    </row>
    <row r="27" spans="1:17" ht="20.399999999999999" customHeight="1">
      <c r="A27" s="765"/>
      <c r="B27" s="205">
        <v>9</v>
      </c>
      <c r="C27" s="621">
        <f>국내2!L78</f>
        <v>39734</v>
      </c>
      <c r="D27" s="598">
        <f>국내2!L81</f>
        <v>275</v>
      </c>
      <c r="E27" s="609">
        <f t="shared" si="7"/>
        <v>40009</v>
      </c>
      <c r="F27" s="626">
        <v>209299</v>
      </c>
      <c r="G27" s="598">
        <v>150</v>
      </c>
      <c r="H27" s="605">
        <f t="shared" si="8"/>
        <v>209449</v>
      </c>
      <c r="I27" s="631">
        <f t="shared" si="6"/>
        <v>249033</v>
      </c>
      <c r="J27" s="598">
        <f t="shared" si="9"/>
        <v>425</v>
      </c>
      <c r="K27" s="616">
        <f t="shared" si="10"/>
        <v>249458</v>
      </c>
      <c r="M27" s="590"/>
      <c r="O27" s="508"/>
      <c r="P27" s="508"/>
      <c r="Q27" s="508"/>
    </row>
    <row r="28" spans="1:17" ht="20.399999999999999" customHeight="1">
      <c r="A28" s="765"/>
      <c r="B28" s="205">
        <v>10</v>
      </c>
      <c r="C28" s="621">
        <f>국내2!M78</f>
        <v>42781</v>
      </c>
      <c r="D28" s="598">
        <f>국내2!M81</f>
        <v>251</v>
      </c>
      <c r="E28" s="609">
        <f t="shared" si="7"/>
        <v>43032</v>
      </c>
      <c r="F28" s="626">
        <v>196173</v>
      </c>
      <c r="G28" s="598">
        <v>166</v>
      </c>
      <c r="H28" s="605">
        <f t="shared" si="8"/>
        <v>196339</v>
      </c>
      <c r="I28" s="631">
        <f t="shared" si="6"/>
        <v>238954</v>
      </c>
      <c r="J28" s="598">
        <f t="shared" si="9"/>
        <v>417</v>
      </c>
      <c r="K28" s="602">
        <f t="shared" si="10"/>
        <v>239371</v>
      </c>
      <c r="M28" s="590"/>
      <c r="O28" s="508"/>
      <c r="P28" s="508"/>
      <c r="Q28" s="508"/>
    </row>
    <row r="29" spans="1:17" ht="20.399999999999999" customHeight="1">
      <c r="A29" s="765"/>
      <c r="B29" s="205">
        <v>11</v>
      </c>
      <c r="C29" s="621">
        <f>국내2!N78</f>
        <v>51879</v>
      </c>
      <c r="D29" s="598">
        <f>국내2!N81</f>
        <v>321</v>
      </c>
      <c r="E29" s="609">
        <f t="shared" si="7"/>
        <v>52200</v>
      </c>
      <c r="F29" s="626">
        <v>203503</v>
      </c>
      <c r="G29" s="598">
        <v>133</v>
      </c>
      <c r="H29" s="605">
        <f t="shared" si="8"/>
        <v>203636</v>
      </c>
      <c r="I29" s="631">
        <f t="shared" si="6"/>
        <v>255382</v>
      </c>
      <c r="J29" s="598">
        <f t="shared" si="9"/>
        <v>454</v>
      </c>
      <c r="K29" s="616">
        <f t="shared" si="10"/>
        <v>255836</v>
      </c>
      <c r="M29" s="590"/>
      <c r="O29" s="508"/>
      <c r="P29" s="508"/>
      <c r="Q29" s="508"/>
    </row>
    <row r="30" spans="1:17" ht="20.399999999999999" customHeight="1" thickBot="1">
      <c r="A30" s="765"/>
      <c r="B30" s="209">
        <v>12</v>
      </c>
      <c r="C30" s="622">
        <f>국내2!O78</f>
        <v>50153</v>
      </c>
      <c r="D30" s="599">
        <f>국내2!O81</f>
        <v>383</v>
      </c>
      <c r="E30" s="610">
        <f t="shared" si="7"/>
        <v>50536</v>
      </c>
      <c r="F30" s="627">
        <v>184230</v>
      </c>
      <c r="G30" s="599">
        <v>286</v>
      </c>
      <c r="H30" s="606">
        <f t="shared" si="8"/>
        <v>184516</v>
      </c>
      <c r="I30" s="632">
        <f t="shared" si="6"/>
        <v>234383</v>
      </c>
      <c r="J30" s="599">
        <f t="shared" si="9"/>
        <v>669</v>
      </c>
      <c r="K30" s="614">
        <f t="shared" si="10"/>
        <v>235052</v>
      </c>
      <c r="M30" s="590"/>
      <c r="O30" s="508"/>
      <c r="P30" s="508"/>
      <c r="Q30" s="508"/>
    </row>
    <row r="31" spans="1:17" ht="26.4" customHeight="1" thickTop="1" thickBot="1">
      <c r="A31" s="766"/>
      <c r="B31" s="255" t="s">
        <v>6</v>
      </c>
      <c r="C31" s="623">
        <f t="shared" ref="C31:I31" si="11">SUM(C19:C30)</f>
        <v>538822</v>
      </c>
      <c r="D31" s="600">
        <f t="shared" si="11"/>
        <v>2246</v>
      </c>
      <c r="E31" s="611">
        <f t="shared" si="11"/>
        <v>541068</v>
      </c>
      <c r="F31" s="628">
        <f t="shared" si="11"/>
        <v>2359043</v>
      </c>
      <c r="G31" s="600">
        <f t="shared" si="11"/>
        <v>1686</v>
      </c>
      <c r="H31" s="607">
        <f t="shared" si="11"/>
        <v>2360729</v>
      </c>
      <c r="I31" s="633">
        <f t="shared" si="11"/>
        <v>2897865</v>
      </c>
      <c r="J31" s="600">
        <f t="shared" si="9"/>
        <v>3932</v>
      </c>
      <c r="K31" s="603">
        <f t="shared" si="9"/>
        <v>2901797</v>
      </c>
      <c r="M31" s="590"/>
    </row>
    <row r="32" spans="1:17" ht="18" thickBot="1"/>
    <row r="33" spans="1:17">
      <c r="A33" s="783" t="s">
        <v>106</v>
      </c>
      <c r="B33" s="784"/>
      <c r="C33" s="777" t="s">
        <v>5</v>
      </c>
      <c r="D33" s="511"/>
      <c r="E33" s="594"/>
      <c r="F33" s="763" t="s">
        <v>105</v>
      </c>
      <c r="G33" s="513"/>
      <c r="H33" s="592"/>
      <c r="I33" s="770" t="s">
        <v>6</v>
      </c>
      <c r="J33" s="560"/>
      <c r="K33" s="560"/>
    </row>
    <row r="34" spans="1:17" ht="18" thickBot="1">
      <c r="A34" s="672"/>
      <c r="B34" s="785"/>
      <c r="C34" s="778"/>
      <c r="D34" s="512"/>
      <c r="E34" s="595"/>
      <c r="F34" s="764"/>
      <c r="G34" s="514"/>
      <c r="H34" s="593"/>
      <c r="I34" s="771"/>
      <c r="J34" s="560"/>
      <c r="K34" s="560"/>
    </row>
    <row r="35" spans="1:17">
      <c r="A35" s="767" t="s">
        <v>332</v>
      </c>
      <c r="B35" s="201">
        <v>1</v>
      </c>
      <c r="C35" s="202">
        <f>국내2!D134</f>
        <v>41481</v>
      </c>
      <c r="D35" s="551"/>
      <c r="E35" s="551"/>
      <c r="F35" s="258">
        <v>184252</v>
      </c>
      <c r="G35" s="555"/>
      <c r="H35" s="555"/>
      <c r="I35" s="204">
        <f t="shared" ref="I35:I46" si="12">C35+F35</f>
        <v>225733</v>
      </c>
      <c r="J35" s="561"/>
      <c r="K35" s="561"/>
      <c r="O35" s="508"/>
      <c r="P35" s="508"/>
      <c r="Q35" s="508"/>
    </row>
    <row r="36" spans="1:17">
      <c r="A36" s="768"/>
      <c r="B36" s="205">
        <v>2</v>
      </c>
      <c r="C36" s="206">
        <f>국내2!E134</f>
        <v>37583</v>
      </c>
      <c r="D36" s="552"/>
      <c r="E36" s="552"/>
      <c r="F36" s="259">
        <v>173731</v>
      </c>
      <c r="G36" s="556"/>
      <c r="H36" s="556"/>
      <c r="I36" s="208">
        <f t="shared" si="12"/>
        <v>211314</v>
      </c>
      <c r="J36" s="561"/>
      <c r="K36" s="561"/>
      <c r="O36" s="508"/>
      <c r="P36" s="508"/>
      <c r="Q36" s="508"/>
    </row>
    <row r="37" spans="1:17">
      <c r="A37" s="768"/>
      <c r="B37" s="205">
        <v>3</v>
      </c>
      <c r="C37" s="206">
        <f>국내2!F134</f>
        <v>51011</v>
      </c>
      <c r="D37" s="552"/>
      <c r="E37" s="552"/>
      <c r="F37" s="259">
        <v>201932</v>
      </c>
      <c r="G37" s="556"/>
      <c r="H37" s="556"/>
      <c r="I37" s="208">
        <f t="shared" si="12"/>
        <v>252943</v>
      </c>
      <c r="J37" s="561"/>
      <c r="K37" s="561"/>
    </row>
    <row r="38" spans="1:17">
      <c r="A38" s="768"/>
      <c r="B38" s="205">
        <v>4</v>
      </c>
      <c r="C38" s="206">
        <f>국내2!G134</f>
        <v>51128</v>
      </c>
      <c r="D38" s="552"/>
      <c r="E38" s="552"/>
      <c r="F38" s="259">
        <v>202159</v>
      </c>
      <c r="G38" s="556"/>
      <c r="H38" s="556"/>
      <c r="I38" s="208">
        <f t="shared" si="12"/>
        <v>253287</v>
      </c>
      <c r="J38" s="561"/>
      <c r="K38" s="561"/>
    </row>
    <row r="39" spans="1:17">
      <c r="A39" s="768"/>
      <c r="B39" s="205">
        <v>5</v>
      </c>
      <c r="C39" s="206">
        <f>국내2!H134</f>
        <v>47901</v>
      </c>
      <c r="D39" s="552"/>
      <c r="E39" s="552"/>
      <c r="F39" s="259">
        <v>198867</v>
      </c>
      <c r="G39" s="556"/>
      <c r="H39" s="556"/>
      <c r="I39" s="208">
        <f t="shared" si="12"/>
        <v>246768</v>
      </c>
      <c r="J39" s="561"/>
      <c r="K39" s="561"/>
    </row>
    <row r="40" spans="1:17">
      <c r="A40" s="768"/>
      <c r="B40" s="205">
        <v>6</v>
      </c>
      <c r="C40" s="206">
        <f>국내2!I134</f>
        <v>49280</v>
      </c>
      <c r="D40" s="552"/>
      <c r="E40" s="552"/>
      <c r="F40" s="259">
        <v>204782</v>
      </c>
      <c r="G40" s="556"/>
      <c r="H40" s="556"/>
      <c r="I40" s="208">
        <f t="shared" si="12"/>
        <v>254062</v>
      </c>
      <c r="J40" s="561"/>
      <c r="K40" s="561"/>
    </row>
    <row r="41" spans="1:17">
      <c r="A41" s="768"/>
      <c r="B41" s="205">
        <v>7</v>
      </c>
      <c r="C41" s="206">
        <f>국내2!J134</f>
        <v>48160</v>
      </c>
      <c r="D41" s="552"/>
      <c r="E41" s="552"/>
      <c r="F41" s="259">
        <v>194560</v>
      </c>
      <c r="G41" s="556"/>
      <c r="H41" s="556"/>
      <c r="I41" s="208">
        <f t="shared" si="12"/>
        <v>242720</v>
      </c>
      <c r="J41" s="561"/>
      <c r="K41" s="561"/>
    </row>
    <row r="42" spans="1:17">
      <c r="A42" s="768"/>
      <c r="B42" s="205">
        <v>8</v>
      </c>
      <c r="C42" s="206">
        <f>국내2!K134</f>
        <v>41003</v>
      </c>
      <c r="D42" s="552"/>
      <c r="E42" s="552"/>
      <c r="F42" s="259">
        <v>176223</v>
      </c>
      <c r="G42" s="556"/>
      <c r="H42" s="556"/>
      <c r="I42" s="208">
        <f t="shared" si="12"/>
        <v>217226</v>
      </c>
      <c r="J42" s="561"/>
      <c r="K42" s="561"/>
    </row>
    <row r="43" spans="1:17">
      <c r="A43" s="768"/>
      <c r="B43" s="205">
        <v>9</v>
      </c>
      <c r="C43" s="206">
        <f>국내2!L134</f>
        <v>35801</v>
      </c>
      <c r="D43" s="552"/>
      <c r="E43" s="552"/>
      <c r="F43" s="259">
        <v>188556</v>
      </c>
      <c r="G43" s="556"/>
      <c r="H43" s="556"/>
      <c r="I43" s="208">
        <f t="shared" si="12"/>
        <v>224357</v>
      </c>
      <c r="J43" s="561"/>
      <c r="K43" s="561"/>
    </row>
    <row r="44" spans="1:17">
      <c r="A44" s="768"/>
      <c r="B44" s="205">
        <v>10</v>
      </c>
      <c r="C44" s="206">
        <f>국내2!M134</f>
        <v>37837</v>
      </c>
      <c r="D44" s="552"/>
      <c r="E44" s="552"/>
      <c r="F44" s="259">
        <v>181999</v>
      </c>
      <c r="G44" s="556"/>
      <c r="H44" s="556"/>
      <c r="I44" s="208">
        <f t="shared" si="12"/>
        <v>219836</v>
      </c>
      <c r="J44" s="561"/>
      <c r="K44" s="561"/>
    </row>
    <row r="45" spans="1:17">
      <c r="A45" s="768"/>
      <c r="B45" s="205">
        <v>11</v>
      </c>
      <c r="C45" s="206">
        <f>국내2!N134</f>
        <v>46042</v>
      </c>
      <c r="D45" s="552"/>
      <c r="E45" s="552"/>
      <c r="F45" s="259">
        <v>173803</v>
      </c>
      <c r="G45" s="556"/>
      <c r="H45" s="556"/>
      <c r="I45" s="208">
        <f t="shared" si="12"/>
        <v>219845</v>
      </c>
      <c r="J45" s="561"/>
      <c r="K45" s="561"/>
    </row>
    <row r="46" spans="1:17" ht="18" thickBot="1">
      <c r="A46" s="768"/>
      <c r="B46" s="209">
        <v>12</v>
      </c>
      <c r="C46" s="210">
        <f>국내2!O134</f>
        <v>47789</v>
      </c>
      <c r="D46" s="553"/>
      <c r="E46" s="553"/>
      <c r="F46" s="260">
        <v>160479</v>
      </c>
      <c r="G46" s="557"/>
      <c r="H46" s="557"/>
      <c r="I46" s="212">
        <f t="shared" si="12"/>
        <v>208268</v>
      </c>
      <c r="J46" s="561"/>
      <c r="K46" s="561"/>
    </row>
    <row r="47" spans="1:17" ht="18.600000000000001" thickTop="1" thickBot="1">
      <c r="A47" s="772"/>
      <c r="B47" s="255" t="s">
        <v>6</v>
      </c>
      <c r="C47" s="256">
        <f>SUM(C35:C46)</f>
        <v>535016</v>
      </c>
      <c r="D47" s="554"/>
      <c r="E47" s="554"/>
      <c r="F47" s="261">
        <f>SUM(F35:F46)</f>
        <v>2241343</v>
      </c>
      <c r="G47" s="558"/>
      <c r="H47" s="558"/>
      <c r="I47" s="257">
        <f>SUM(I35:I46)</f>
        <v>2776359</v>
      </c>
      <c r="J47" s="562"/>
      <c r="K47" s="562"/>
    </row>
    <row r="48" spans="1:17" ht="18" thickBot="1"/>
    <row r="49" spans="1:11">
      <c r="A49" s="783" t="s">
        <v>106</v>
      </c>
      <c r="B49" s="784"/>
      <c r="C49" s="777" t="s">
        <v>5</v>
      </c>
      <c r="D49" s="511"/>
      <c r="E49" s="594"/>
      <c r="F49" s="763" t="s">
        <v>105</v>
      </c>
      <c r="G49" s="513"/>
      <c r="H49" s="592"/>
      <c r="I49" s="770" t="s">
        <v>6</v>
      </c>
      <c r="J49" s="560"/>
      <c r="K49" s="560"/>
    </row>
    <row r="50" spans="1:11" ht="18" thickBot="1">
      <c r="A50" s="672"/>
      <c r="B50" s="785"/>
      <c r="C50" s="778"/>
      <c r="D50" s="512"/>
      <c r="E50" s="595"/>
      <c r="F50" s="764"/>
      <c r="G50" s="514"/>
      <c r="H50" s="593"/>
      <c r="I50" s="771"/>
      <c r="J50" s="560"/>
      <c r="K50" s="560"/>
    </row>
    <row r="51" spans="1:11">
      <c r="A51" s="767" t="s">
        <v>139</v>
      </c>
      <c r="B51" s="201">
        <v>1</v>
      </c>
      <c r="C51" s="202">
        <f>국내2!D195</f>
        <v>37050</v>
      </c>
      <c r="D51" s="551"/>
      <c r="E51" s="551"/>
      <c r="F51" s="258">
        <v>183684</v>
      </c>
      <c r="G51" s="555"/>
      <c r="H51" s="555"/>
      <c r="I51" s="204">
        <f t="shared" ref="I51:I62" si="13">C51+F51</f>
        <v>220734</v>
      </c>
      <c r="J51" s="561"/>
      <c r="K51" s="561"/>
    </row>
    <row r="52" spans="1:11">
      <c r="A52" s="768"/>
      <c r="B52" s="205">
        <v>2</v>
      </c>
      <c r="C52" s="206">
        <f>국내2!E195</f>
        <v>28681</v>
      </c>
      <c r="D52" s="552"/>
      <c r="E52" s="552"/>
      <c r="F52" s="259">
        <v>167727</v>
      </c>
      <c r="G52" s="556"/>
      <c r="H52" s="556"/>
      <c r="I52" s="208">
        <f t="shared" si="13"/>
        <v>196408</v>
      </c>
      <c r="J52" s="561"/>
      <c r="K52" s="561"/>
    </row>
    <row r="53" spans="1:11">
      <c r="A53" s="768"/>
      <c r="B53" s="205">
        <v>3</v>
      </c>
      <c r="C53" s="206">
        <f>국내2!F195</f>
        <v>51008</v>
      </c>
      <c r="D53" s="552"/>
      <c r="E53" s="552"/>
      <c r="F53" s="259">
        <v>180535</v>
      </c>
      <c r="G53" s="556"/>
      <c r="H53" s="556"/>
      <c r="I53" s="208">
        <f t="shared" si="13"/>
        <v>231543</v>
      </c>
      <c r="J53" s="561"/>
      <c r="K53" s="561"/>
    </row>
    <row r="54" spans="1:11">
      <c r="A54" s="768"/>
      <c r="B54" s="205">
        <v>4</v>
      </c>
      <c r="C54" s="206">
        <f>국내2!G195</f>
        <v>50361</v>
      </c>
      <c r="D54" s="552"/>
      <c r="E54" s="552"/>
      <c r="F54" s="259">
        <v>89901</v>
      </c>
      <c r="G54" s="556"/>
      <c r="H54" s="556"/>
      <c r="I54" s="208">
        <f t="shared" si="13"/>
        <v>140262</v>
      </c>
      <c r="J54" s="561"/>
      <c r="K54" s="561"/>
    </row>
    <row r="55" spans="1:11">
      <c r="A55" s="768"/>
      <c r="B55" s="205">
        <v>5</v>
      </c>
      <c r="C55" s="206">
        <f>국내2!H195</f>
        <v>51182</v>
      </c>
      <c r="D55" s="552"/>
      <c r="E55" s="552"/>
      <c r="F55" s="259">
        <v>113711</v>
      </c>
      <c r="G55" s="556"/>
      <c r="H55" s="556"/>
      <c r="I55" s="208">
        <f t="shared" si="13"/>
        <v>164893</v>
      </c>
      <c r="J55" s="561"/>
      <c r="K55" s="561"/>
    </row>
    <row r="56" spans="1:11">
      <c r="A56" s="768"/>
      <c r="B56" s="205">
        <v>6</v>
      </c>
      <c r="C56" s="206">
        <f>국내2!I195</f>
        <v>60005</v>
      </c>
      <c r="D56" s="552"/>
      <c r="E56" s="552"/>
      <c r="F56" s="259">
        <v>150890</v>
      </c>
      <c r="G56" s="556"/>
      <c r="H56" s="556"/>
      <c r="I56" s="208">
        <f t="shared" si="13"/>
        <v>210895</v>
      </c>
      <c r="J56" s="561"/>
      <c r="K56" s="561"/>
    </row>
    <row r="57" spans="1:11">
      <c r="A57" s="768"/>
      <c r="B57" s="205">
        <v>7</v>
      </c>
      <c r="C57" s="206">
        <f>국내2!J195</f>
        <v>47050</v>
      </c>
      <c r="D57" s="552"/>
      <c r="E57" s="552"/>
      <c r="F57" s="259">
        <v>175069</v>
      </c>
      <c r="G57" s="556"/>
      <c r="H57" s="556"/>
      <c r="I57" s="208">
        <f t="shared" si="13"/>
        <v>222119</v>
      </c>
      <c r="J57" s="561"/>
      <c r="K57" s="561"/>
    </row>
    <row r="58" spans="1:11">
      <c r="A58" s="768"/>
      <c r="B58" s="205">
        <v>8</v>
      </c>
      <c r="C58" s="206">
        <f>국내2!K195</f>
        <v>38463</v>
      </c>
      <c r="D58" s="552"/>
      <c r="E58" s="552"/>
      <c r="F58" s="259">
        <v>178626</v>
      </c>
      <c r="G58" s="556"/>
      <c r="H58" s="556"/>
      <c r="I58" s="208">
        <f t="shared" si="13"/>
        <v>217089</v>
      </c>
      <c r="J58" s="561"/>
      <c r="K58" s="561"/>
    </row>
    <row r="59" spans="1:11">
      <c r="A59" s="768"/>
      <c r="B59" s="205">
        <v>9</v>
      </c>
      <c r="C59" s="206">
        <f>국내2!L195</f>
        <v>51211</v>
      </c>
      <c r="D59" s="552"/>
      <c r="E59" s="552"/>
      <c r="F59" s="259">
        <v>208983</v>
      </c>
      <c r="G59" s="556"/>
      <c r="H59" s="556"/>
      <c r="I59" s="208">
        <f t="shared" si="13"/>
        <v>260194</v>
      </c>
      <c r="J59" s="561"/>
      <c r="K59" s="561"/>
    </row>
    <row r="60" spans="1:11">
      <c r="A60" s="768"/>
      <c r="B60" s="205">
        <v>10</v>
      </c>
      <c r="C60" s="206">
        <f>국내2!M195</f>
        <v>48009</v>
      </c>
      <c r="D60" s="552"/>
      <c r="E60" s="552"/>
      <c r="F60" s="259">
        <v>220720</v>
      </c>
      <c r="G60" s="556"/>
      <c r="H60" s="556"/>
      <c r="I60" s="208">
        <f t="shared" si="13"/>
        <v>268729</v>
      </c>
      <c r="J60" s="561"/>
      <c r="K60" s="561"/>
    </row>
    <row r="61" spans="1:11">
      <c r="A61" s="768"/>
      <c r="B61" s="205">
        <v>11</v>
      </c>
      <c r="C61" s="206">
        <f>국내2!N195</f>
        <v>50523</v>
      </c>
      <c r="D61" s="552"/>
      <c r="E61" s="552"/>
      <c r="F61" s="259">
        <v>205692</v>
      </c>
      <c r="G61" s="556"/>
      <c r="H61" s="556"/>
      <c r="I61" s="208">
        <f t="shared" si="13"/>
        <v>256215</v>
      </c>
      <c r="J61" s="561"/>
      <c r="K61" s="561"/>
    </row>
    <row r="62" spans="1:11" ht="18" thickBot="1">
      <c r="A62" s="768"/>
      <c r="B62" s="209">
        <v>12</v>
      </c>
      <c r="C62" s="210">
        <f>국내2!O195</f>
        <v>38857</v>
      </c>
      <c r="D62" s="553"/>
      <c r="E62" s="553"/>
      <c r="F62" s="260">
        <v>178894</v>
      </c>
      <c r="G62" s="557"/>
      <c r="H62" s="557"/>
      <c r="I62" s="212">
        <f t="shared" si="13"/>
        <v>217751</v>
      </c>
      <c r="J62" s="561"/>
      <c r="K62" s="561"/>
    </row>
    <row r="63" spans="1:11" ht="18.600000000000001" thickTop="1" thickBot="1">
      <c r="A63" s="772"/>
      <c r="B63" s="255" t="s">
        <v>6</v>
      </c>
      <c r="C63" s="256">
        <f>SUM(C51:C62)</f>
        <v>552400</v>
      </c>
      <c r="D63" s="554"/>
      <c r="E63" s="554"/>
      <c r="F63" s="261">
        <f>SUM(F51:F62)</f>
        <v>2054432</v>
      </c>
      <c r="G63" s="558"/>
      <c r="H63" s="558"/>
      <c r="I63" s="257">
        <f>SUM(I51:I62)</f>
        <v>2606832</v>
      </c>
      <c r="J63" s="562"/>
      <c r="K63" s="562"/>
    </row>
    <row r="64" spans="1:11" ht="18" thickBot="1"/>
    <row r="65" spans="1:11">
      <c r="A65" s="783" t="s">
        <v>106</v>
      </c>
      <c r="B65" s="784"/>
      <c r="C65" s="777" t="s">
        <v>5</v>
      </c>
      <c r="D65" s="511"/>
      <c r="E65" s="594"/>
      <c r="F65" s="763" t="s">
        <v>105</v>
      </c>
      <c r="G65" s="513"/>
      <c r="H65" s="592"/>
      <c r="I65" s="770" t="s">
        <v>6</v>
      </c>
      <c r="J65" s="560"/>
      <c r="K65" s="560"/>
    </row>
    <row r="66" spans="1:11" ht="18" thickBot="1">
      <c r="A66" s="672"/>
      <c r="B66" s="785"/>
      <c r="C66" s="778"/>
      <c r="D66" s="512"/>
      <c r="E66" s="595"/>
      <c r="F66" s="764"/>
      <c r="G66" s="514"/>
      <c r="H66" s="593"/>
      <c r="I66" s="771"/>
      <c r="J66" s="560"/>
      <c r="K66" s="560"/>
    </row>
    <row r="67" spans="1:11">
      <c r="A67" s="767" t="s">
        <v>123</v>
      </c>
      <c r="B67" s="201">
        <v>1</v>
      </c>
      <c r="C67" s="202">
        <f>국내2!D253</f>
        <v>38010</v>
      </c>
      <c r="D67" s="551"/>
      <c r="E67" s="551"/>
      <c r="F67" s="258">
        <v>171860</v>
      </c>
      <c r="G67" s="555"/>
      <c r="H67" s="555"/>
      <c r="I67" s="204">
        <f t="shared" ref="I67:I78" si="14">C67+F67</f>
        <v>209870</v>
      </c>
      <c r="J67" s="561"/>
      <c r="K67" s="561"/>
    </row>
    <row r="68" spans="1:11">
      <c r="A68" s="768"/>
      <c r="B68" s="205">
        <v>2</v>
      </c>
      <c r="C68" s="206">
        <f>국내2!E253</f>
        <v>33222</v>
      </c>
      <c r="D68" s="552"/>
      <c r="E68" s="552"/>
      <c r="F68" s="259">
        <v>164434</v>
      </c>
      <c r="G68" s="556"/>
      <c r="H68" s="556"/>
      <c r="I68" s="208">
        <f t="shared" si="14"/>
        <v>197656</v>
      </c>
      <c r="J68" s="561"/>
      <c r="K68" s="561"/>
    </row>
    <row r="69" spans="1:11">
      <c r="A69" s="768"/>
      <c r="B69" s="205">
        <v>3</v>
      </c>
      <c r="C69" s="206">
        <f>국내2!F253</f>
        <v>44233</v>
      </c>
      <c r="D69" s="552"/>
      <c r="E69" s="552"/>
      <c r="F69" s="259">
        <v>198137</v>
      </c>
      <c r="G69" s="556"/>
      <c r="H69" s="556"/>
      <c r="I69" s="208">
        <f t="shared" si="14"/>
        <v>242370</v>
      </c>
      <c r="J69" s="561"/>
      <c r="K69" s="561"/>
    </row>
    <row r="70" spans="1:11">
      <c r="A70" s="768"/>
      <c r="B70" s="205">
        <v>4</v>
      </c>
      <c r="C70" s="206">
        <f>국내2!G253</f>
        <v>42000</v>
      </c>
      <c r="D70" s="552"/>
      <c r="E70" s="552"/>
      <c r="F70" s="259">
        <v>185943</v>
      </c>
      <c r="G70" s="556"/>
      <c r="H70" s="556"/>
      <c r="I70" s="208">
        <f t="shared" si="14"/>
        <v>227943</v>
      </c>
      <c r="J70" s="561"/>
      <c r="K70" s="561"/>
    </row>
    <row r="71" spans="1:11">
      <c r="A71" s="768"/>
      <c r="B71" s="205">
        <v>5</v>
      </c>
      <c r="C71" s="206">
        <f>국내2!H253</f>
        <v>43000</v>
      </c>
      <c r="D71" s="552"/>
      <c r="E71" s="552"/>
      <c r="F71" s="259">
        <v>195943</v>
      </c>
      <c r="G71" s="556"/>
      <c r="H71" s="556"/>
      <c r="I71" s="208">
        <f t="shared" si="14"/>
        <v>238943</v>
      </c>
      <c r="J71" s="561"/>
      <c r="K71" s="561"/>
    </row>
    <row r="72" spans="1:11">
      <c r="A72" s="768"/>
      <c r="B72" s="205">
        <v>6</v>
      </c>
      <c r="C72" s="206">
        <f>국내2!I253</f>
        <v>42405</v>
      </c>
      <c r="D72" s="552"/>
      <c r="E72" s="552"/>
      <c r="F72" s="259">
        <v>193442</v>
      </c>
      <c r="G72" s="556"/>
      <c r="H72" s="556"/>
      <c r="I72" s="208">
        <f t="shared" si="14"/>
        <v>235847</v>
      </c>
      <c r="J72" s="561"/>
      <c r="K72" s="561"/>
    </row>
    <row r="73" spans="1:11">
      <c r="A73" s="768"/>
      <c r="B73" s="205">
        <v>7</v>
      </c>
      <c r="C73" s="206">
        <f>국내2!J253</f>
        <v>47080</v>
      </c>
      <c r="D73" s="552"/>
      <c r="E73" s="552"/>
      <c r="F73" s="259">
        <v>179520</v>
      </c>
      <c r="G73" s="556"/>
      <c r="H73" s="556"/>
      <c r="I73" s="208">
        <f t="shared" si="14"/>
        <v>226600</v>
      </c>
      <c r="J73" s="561"/>
      <c r="K73" s="561"/>
    </row>
    <row r="74" spans="1:11">
      <c r="A74" s="768"/>
      <c r="B74" s="205">
        <v>8</v>
      </c>
      <c r="C74" s="206">
        <f>국내2!K253</f>
        <v>43362</v>
      </c>
      <c r="D74" s="552"/>
      <c r="E74" s="552"/>
      <c r="F74" s="259">
        <v>185379</v>
      </c>
      <c r="G74" s="556"/>
      <c r="H74" s="556"/>
      <c r="I74" s="208">
        <f t="shared" si="14"/>
        <v>228741</v>
      </c>
      <c r="J74" s="561"/>
      <c r="K74" s="561"/>
    </row>
    <row r="75" spans="1:11">
      <c r="A75" s="768"/>
      <c r="B75" s="205">
        <v>9</v>
      </c>
      <c r="C75" s="206">
        <f>국내2!L253</f>
        <v>42005</v>
      </c>
      <c r="D75" s="552"/>
      <c r="E75" s="552"/>
      <c r="F75" s="259">
        <v>193805</v>
      </c>
      <c r="G75" s="556"/>
      <c r="H75" s="556"/>
      <c r="I75" s="208">
        <f t="shared" si="14"/>
        <v>235810</v>
      </c>
      <c r="J75" s="561"/>
      <c r="K75" s="561"/>
    </row>
    <row r="76" spans="1:11">
      <c r="A76" s="768"/>
      <c r="B76" s="205">
        <v>10</v>
      </c>
      <c r="C76" s="206">
        <f>국내2!M253</f>
        <v>47143</v>
      </c>
      <c r="D76" s="552"/>
      <c r="E76" s="552"/>
      <c r="F76" s="259">
        <v>203372</v>
      </c>
      <c r="G76" s="556"/>
      <c r="H76" s="556"/>
      <c r="I76" s="208">
        <f t="shared" si="14"/>
        <v>250515</v>
      </c>
      <c r="J76" s="561"/>
      <c r="K76" s="561"/>
    </row>
    <row r="77" spans="1:11">
      <c r="A77" s="768"/>
      <c r="B77" s="205">
        <v>11</v>
      </c>
      <c r="C77" s="206">
        <f>국내2!N253</f>
        <v>48615</v>
      </c>
      <c r="D77" s="552"/>
      <c r="E77" s="552"/>
      <c r="F77" s="259">
        <v>202337</v>
      </c>
      <c r="G77" s="556"/>
      <c r="H77" s="556"/>
      <c r="I77" s="208">
        <f t="shared" si="14"/>
        <v>250952</v>
      </c>
      <c r="J77" s="561"/>
      <c r="K77" s="561"/>
    </row>
    <row r="78" spans="1:11" ht="18" thickBot="1">
      <c r="A78" s="768"/>
      <c r="B78" s="209">
        <v>12</v>
      </c>
      <c r="C78" s="210">
        <f>국내2!O253</f>
        <v>49130</v>
      </c>
      <c r="D78" s="553"/>
      <c r="E78" s="553"/>
      <c r="F78" s="260">
        <v>177699</v>
      </c>
      <c r="G78" s="557"/>
      <c r="H78" s="557"/>
      <c r="I78" s="212">
        <f t="shared" si="14"/>
        <v>226829</v>
      </c>
      <c r="J78" s="561"/>
      <c r="K78" s="561"/>
    </row>
    <row r="79" spans="1:11" ht="18.600000000000001" thickTop="1" thickBot="1">
      <c r="A79" s="772"/>
      <c r="B79" s="255" t="s">
        <v>6</v>
      </c>
      <c r="C79" s="256">
        <f>SUM(C67:C78)</f>
        <v>520205</v>
      </c>
      <c r="D79" s="554"/>
      <c r="E79" s="554"/>
      <c r="F79" s="261">
        <f>SUM(F67:F78)</f>
        <v>2251871</v>
      </c>
      <c r="G79" s="558"/>
      <c r="H79" s="558"/>
      <c r="I79" s="257">
        <f>SUM(I67:I78)</f>
        <v>2772076</v>
      </c>
      <c r="J79" s="562"/>
      <c r="K79" s="562"/>
    </row>
    <row r="80" spans="1:11" ht="18" thickBot="1"/>
    <row r="81" spans="1:11">
      <c r="A81" s="783" t="s">
        <v>106</v>
      </c>
      <c r="B81" s="784"/>
      <c r="C81" s="777" t="s">
        <v>5</v>
      </c>
      <c r="D81" s="511"/>
      <c r="E81" s="594"/>
      <c r="F81" s="763" t="s">
        <v>105</v>
      </c>
      <c r="G81" s="513"/>
      <c r="H81" s="592"/>
      <c r="I81" s="770" t="s">
        <v>6</v>
      </c>
      <c r="J81" s="560"/>
      <c r="K81" s="560"/>
    </row>
    <row r="82" spans="1:11" ht="18" thickBot="1">
      <c r="A82" s="672"/>
      <c r="B82" s="785"/>
      <c r="C82" s="778"/>
      <c r="D82" s="512"/>
      <c r="E82" s="595"/>
      <c r="F82" s="764"/>
      <c r="G82" s="514"/>
      <c r="H82" s="593"/>
      <c r="I82" s="771"/>
      <c r="J82" s="560"/>
      <c r="K82" s="560"/>
    </row>
    <row r="83" spans="1:11">
      <c r="A83" s="767" t="s">
        <v>107</v>
      </c>
      <c r="B83" s="201">
        <v>1</v>
      </c>
      <c r="C83" s="202">
        <f>국내2!D300</f>
        <v>39105</v>
      </c>
      <c r="D83" s="551"/>
      <c r="E83" s="551"/>
      <c r="F83" s="258">
        <v>167243</v>
      </c>
      <c r="G83" s="555"/>
      <c r="H83" s="555"/>
      <c r="I83" s="204">
        <f t="shared" ref="I83:I94" si="15">C83+F83</f>
        <v>206348</v>
      </c>
      <c r="J83" s="561"/>
      <c r="K83" s="561"/>
    </row>
    <row r="84" spans="1:11">
      <c r="A84" s="768"/>
      <c r="B84" s="205">
        <v>2</v>
      </c>
      <c r="C84" s="206">
        <f>국내2!E300</f>
        <v>37005</v>
      </c>
      <c r="D84" s="552"/>
      <c r="E84" s="552"/>
      <c r="F84" s="259">
        <v>160413</v>
      </c>
      <c r="G84" s="556"/>
      <c r="H84" s="556"/>
      <c r="I84" s="208">
        <f t="shared" si="15"/>
        <v>197418</v>
      </c>
      <c r="J84" s="561"/>
      <c r="K84" s="561"/>
    </row>
    <row r="85" spans="1:11">
      <c r="A85" s="768"/>
      <c r="B85" s="205">
        <v>3</v>
      </c>
      <c r="C85" s="206">
        <f>국내2!F300</f>
        <v>48540</v>
      </c>
      <c r="D85" s="552"/>
      <c r="E85" s="552"/>
      <c r="F85" s="259">
        <v>194068</v>
      </c>
      <c r="G85" s="556"/>
      <c r="H85" s="556"/>
      <c r="I85" s="208">
        <f t="shared" si="15"/>
        <v>242608</v>
      </c>
      <c r="J85" s="561"/>
      <c r="K85" s="561"/>
    </row>
    <row r="86" spans="1:11">
      <c r="A86" s="768"/>
      <c r="B86" s="205">
        <v>4</v>
      </c>
      <c r="C86" s="206">
        <f>국내2!G300</f>
        <v>50004</v>
      </c>
      <c r="D86" s="552"/>
      <c r="E86" s="552"/>
      <c r="F86" s="259">
        <v>190616</v>
      </c>
      <c r="G86" s="556"/>
      <c r="H86" s="556"/>
      <c r="I86" s="208">
        <f t="shared" si="15"/>
        <v>240620</v>
      </c>
      <c r="J86" s="561"/>
      <c r="K86" s="561"/>
    </row>
    <row r="87" spans="1:11">
      <c r="A87" s="768"/>
      <c r="B87" s="205">
        <v>5</v>
      </c>
      <c r="C87" s="206">
        <f>국내2!H300</f>
        <v>47046</v>
      </c>
      <c r="D87" s="552"/>
      <c r="E87" s="552"/>
      <c r="F87" s="259">
        <v>200512</v>
      </c>
      <c r="G87" s="556"/>
      <c r="H87" s="556"/>
      <c r="I87" s="208">
        <f t="shared" si="15"/>
        <v>247558</v>
      </c>
      <c r="J87" s="561"/>
      <c r="K87" s="561"/>
    </row>
    <row r="88" spans="1:11">
      <c r="A88" s="768"/>
      <c r="B88" s="205">
        <v>6</v>
      </c>
      <c r="C88" s="206">
        <f>국내2!I300</f>
        <v>46000</v>
      </c>
      <c r="D88" s="552"/>
      <c r="E88" s="552"/>
      <c r="F88" s="259">
        <v>205856</v>
      </c>
      <c r="G88" s="556"/>
      <c r="H88" s="556"/>
      <c r="I88" s="208">
        <f t="shared" si="15"/>
        <v>251856</v>
      </c>
      <c r="J88" s="561"/>
      <c r="K88" s="561"/>
    </row>
    <row r="89" spans="1:11">
      <c r="A89" s="768"/>
      <c r="B89" s="205">
        <v>7</v>
      </c>
      <c r="C89" s="206">
        <f>국내2!J300</f>
        <v>47000</v>
      </c>
      <c r="D89" s="552"/>
      <c r="E89" s="552"/>
      <c r="F89" s="259">
        <v>185182</v>
      </c>
      <c r="G89" s="556"/>
      <c r="H89" s="556"/>
      <c r="I89" s="208">
        <f t="shared" si="15"/>
        <v>232182</v>
      </c>
      <c r="J89" s="561"/>
      <c r="K89" s="561"/>
    </row>
    <row r="90" spans="1:11">
      <c r="A90" s="768"/>
      <c r="B90" s="205">
        <v>8</v>
      </c>
      <c r="C90" s="206">
        <f>국내2!K300</f>
        <v>44200</v>
      </c>
      <c r="D90" s="552"/>
      <c r="E90" s="552"/>
      <c r="F90" s="259">
        <v>180033</v>
      </c>
      <c r="G90" s="556"/>
      <c r="H90" s="556"/>
      <c r="I90" s="208">
        <f t="shared" si="15"/>
        <v>224233</v>
      </c>
      <c r="J90" s="561"/>
      <c r="K90" s="561"/>
    </row>
    <row r="91" spans="1:11">
      <c r="A91" s="768"/>
      <c r="B91" s="205">
        <v>9</v>
      </c>
      <c r="C91" s="206">
        <f>국내2!L300</f>
        <v>35800</v>
      </c>
      <c r="D91" s="552"/>
      <c r="E91" s="552"/>
      <c r="F91" s="259">
        <v>194756</v>
      </c>
      <c r="G91" s="556"/>
      <c r="H91" s="556"/>
      <c r="I91" s="208">
        <f t="shared" si="15"/>
        <v>230556</v>
      </c>
      <c r="J91" s="561"/>
      <c r="K91" s="561"/>
    </row>
    <row r="92" spans="1:11">
      <c r="A92" s="768"/>
      <c r="B92" s="205">
        <v>10</v>
      </c>
      <c r="C92" s="206">
        <f>국내2!M300</f>
        <v>46100</v>
      </c>
      <c r="D92" s="552"/>
      <c r="E92" s="552"/>
      <c r="F92" s="259">
        <v>204580</v>
      </c>
      <c r="G92" s="556"/>
      <c r="H92" s="556"/>
      <c r="I92" s="208">
        <f t="shared" si="15"/>
        <v>250680</v>
      </c>
      <c r="J92" s="561"/>
      <c r="K92" s="561"/>
    </row>
    <row r="93" spans="1:11">
      <c r="A93" s="768"/>
      <c r="B93" s="205">
        <v>11</v>
      </c>
      <c r="C93" s="206">
        <f>국내2!N300</f>
        <v>48700</v>
      </c>
      <c r="D93" s="552"/>
      <c r="E93" s="552"/>
      <c r="F93" s="259">
        <v>198242</v>
      </c>
      <c r="G93" s="556"/>
      <c r="H93" s="556"/>
      <c r="I93" s="208">
        <f t="shared" si="15"/>
        <v>246942</v>
      </c>
      <c r="J93" s="561"/>
      <c r="K93" s="561"/>
    </row>
    <row r="94" spans="1:11" ht="18" thickBot="1">
      <c r="A94" s="768"/>
      <c r="B94" s="209">
        <v>12</v>
      </c>
      <c r="C94" s="210">
        <f>국내2!O300</f>
        <v>42200</v>
      </c>
      <c r="D94" s="553"/>
      <c r="E94" s="553"/>
      <c r="F94" s="260">
        <v>198999</v>
      </c>
      <c r="G94" s="557"/>
      <c r="H94" s="557"/>
      <c r="I94" s="212">
        <f t="shared" si="15"/>
        <v>241199</v>
      </c>
      <c r="J94" s="561"/>
      <c r="K94" s="561"/>
    </row>
    <row r="95" spans="1:11" ht="18.600000000000001" thickTop="1" thickBot="1">
      <c r="A95" s="772"/>
      <c r="B95" s="255" t="s">
        <v>6</v>
      </c>
      <c r="C95" s="256">
        <f>SUM(C83:C94)</f>
        <v>531700</v>
      </c>
      <c r="D95" s="554"/>
      <c r="E95" s="554"/>
      <c r="F95" s="261">
        <f>SUM(F83:F94)</f>
        <v>2280500</v>
      </c>
      <c r="G95" s="558"/>
      <c r="H95" s="558"/>
      <c r="I95" s="257">
        <f>SUM(I83:I94)</f>
        <v>2812200</v>
      </c>
      <c r="J95" s="562"/>
      <c r="K95" s="562"/>
    </row>
    <row r="96" spans="1:11" ht="18" thickBot="1"/>
    <row r="97" spans="1:11">
      <c r="A97" s="783" t="s">
        <v>106</v>
      </c>
      <c r="B97" s="784"/>
      <c r="C97" s="777" t="s">
        <v>5</v>
      </c>
      <c r="D97" s="511"/>
      <c r="E97" s="594"/>
      <c r="F97" s="763" t="s">
        <v>105</v>
      </c>
      <c r="G97" s="513"/>
      <c r="H97" s="592"/>
      <c r="I97" s="770" t="s">
        <v>6</v>
      </c>
      <c r="J97" s="560"/>
      <c r="K97" s="560"/>
    </row>
    <row r="98" spans="1:11" ht="18" thickBot="1">
      <c r="A98" s="672"/>
      <c r="B98" s="785"/>
      <c r="C98" s="778"/>
      <c r="D98" s="512"/>
      <c r="E98" s="595"/>
      <c r="F98" s="764"/>
      <c r="G98" s="514"/>
      <c r="H98" s="593"/>
      <c r="I98" s="771"/>
      <c r="J98" s="560"/>
      <c r="K98" s="560"/>
    </row>
    <row r="99" spans="1:11">
      <c r="A99" s="767" t="s">
        <v>97</v>
      </c>
      <c r="B99" s="201">
        <v>1</v>
      </c>
      <c r="C99" s="202">
        <f>국내2!D351</f>
        <v>35012</v>
      </c>
      <c r="D99" s="551"/>
      <c r="E99" s="551"/>
      <c r="F99" s="258">
        <v>159886</v>
      </c>
      <c r="G99" s="555"/>
      <c r="H99" s="555"/>
      <c r="I99" s="204">
        <f t="shared" ref="I99:I110" si="16">C99+F99</f>
        <v>194898</v>
      </c>
      <c r="J99" s="561"/>
      <c r="K99" s="561"/>
    </row>
    <row r="100" spans="1:11">
      <c r="A100" s="768"/>
      <c r="B100" s="205">
        <v>2</v>
      </c>
      <c r="C100" s="206">
        <f>국내2!E351</f>
        <v>39158</v>
      </c>
      <c r="D100" s="552"/>
      <c r="E100" s="552"/>
      <c r="F100" s="259">
        <v>176422</v>
      </c>
      <c r="G100" s="556"/>
      <c r="H100" s="556"/>
      <c r="I100" s="208">
        <f t="shared" si="16"/>
        <v>215580</v>
      </c>
      <c r="J100" s="561"/>
      <c r="K100" s="561"/>
    </row>
    <row r="101" spans="1:11">
      <c r="A101" s="768"/>
      <c r="B101" s="205">
        <v>3</v>
      </c>
      <c r="C101" s="206">
        <f>국내2!F351</f>
        <v>47621</v>
      </c>
      <c r="D101" s="552"/>
      <c r="E101" s="552"/>
      <c r="F101" s="259">
        <v>186769</v>
      </c>
      <c r="G101" s="556"/>
      <c r="H101" s="556"/>
      <c r="I101" s="208">
        <f t="shared" si="16"/>
        <v>234390</v>
      </c>
      <c r="J101" s="561"/>
      <c r="K101" s="561"/>
    </row>
    <row r="102" spans="1:11">
      <c r="A102" s="768"/>
      <c r="B102" s="205">
        <v>4</v>
      </c>
      <c r="C102" s="206">
        <f>국내2!G351</f>
        <v>43515</v>
      </c>
      <c r="D102" s="552"/>
      <c r="E102" s="552"/>
      <c r="F102" s="259">
        <v>176065</v>
      </c>
      <c r="G102" s="556"/>
      <c r="H102" s="556"/>
      <c r="I102" s="208">
        <f t="shared" si="16"/>
        <v>219580</v>
      </c>
      <c r="J102" s="561"/>
      <c r="K102" s="561"/>
    </row>
    <row r="103" spans="1:11">
      <c r="A103" s="768"/>
      <c r="B103" s="205">
        <v>5</v>
      </c>
      <c r="C103" s="206">
        <f>국내2!H351</f>
        <v>43522</v>
      </c>
      <c r="D103" s="552"/>
      <c r="E103" s="552"/>
      <c r="F103" s="259">
        <v>183304</v>
      </c>
      <c r="G103" s="556"/>
      <c r="H103" s="556"/>
      <c r="I103" s="208">
        <f t="shared" si="16"/>
        <v>226826</v>
      </c>
      <c r="J103" s="561"/>
      <c r="K103" s="561"/>
    </row>
    <row r="104" spans="1:11">
      <c r="A104" s="768"/>
      <c r="B104" s="205">
        <v>6</v>
      </c>
      <c r="C104" s="206">
        <f>국내2!I351</f>
        <v>47015</v>
      </c>
      <c r="D104" s="552"/>
      <c r="E104" s="552"/>
      <c r="F104" s="259">
        <v>190303</v>
      </c>
      <c r="G104" s="556"/>
      <c r="H104" s="556"/>
      <c r="I104" s="208">
        <f t="shared" si="16"/>
        <v>237318</v>
      </c>
      <c r="J104" s="561"/>
      <c r="K104" s="561"/>
    </row>
    <row r="105" spans="1:11">
      <c r="A105" s="768"/>
      <c r="B105" s="205">
        <v>7</v>
      </c>
      <c r="C105" s="206">
        <f>국내2!J351</f>
        <v>43611</v>
      </c>
      <c r="D105" s="552"/>
      <c r="E105" s="552"/>
      <c r="F105" s="259">
        <v>176088</v>
      </c>
      <c r="G105" s="556"/>
      <c r="H105" s="556"/>
      <c r="I105" s="208">
        <f t="shared" si="16"/>
        <v>219699</v>
      </c>
      <c r="J105" s="561"/>
      <c r="K105" s="561"/>
    </row>
    <row r="106" spans="1:11">
      <c r="A106" s="768"/>
      <c r="B106" s="205">
        <v>8</v>
      </c>
      <c r="C106" s="206">
        <f>국내2!K351</f>
        <v>41027</v>
      </c>
      <c r="D106" s="552"/>
      <c r="E106" s="552"/>
      <c r="F106" s="259">
        <v>183181</v>
      </c>
      <c r="G106" s="556"/>
      <c r="H106" s="556"/>
      <c r="I106" s="208">
        <f t="shared" si="16"/>
        <v>224208</v>
      </c>
      <c r="J106" s="561"/>
      <c r="K106" s="561"/>
    </row>
    <row r="107" spans="1:11">
      <c r="A107" s="768"/>
      <c r="B107" s="205">
        <v>9</v>
      </c>
      <c r="C107" s="206">
        <f>국내2!L351</f>
        <v>48019</v>
      </c>
      <c r="D107" s="552"/>
      <c r="E107" s="552"/>
      <c r="F107" s="259">
        <v>201703</v>
      </c>
      <c r="G107" s="556"/>
      <c r="H107" s="556"/>
      <c r="I107" s="208">
        <f t="shared" si="16"/>
        <v>249722</v>
      </c>
      <c r="J107" s="561"/>
      <c r="K107" s="561"/>
    </row>
    <row r="108" spans="1:11">
      <c r="A108" s="768"/>
      <c r="B108" s="205">
        <v>10</v>
      </c>
      <c r="C108" s="206">
        <f>국내2!M351</f>
        <v>37521</v>
      </c>
      <c r="D108" s="552"/>
      <c r="E108" s="552"/>
      <c r="F108" s="259">
        <v>202604</v>
      </c>
      <c r="G108" s="556"/>
      <c r="H108" s="556"/>
      <c r="I108" s="208">
        <f t="shared" si="16"/>
        <v>240125</v>
      </c>
      <c r="J108" s="561"/>
      <c r="K108" s="561"/>
    </row>
    <row r="109" spans="1:11">
      <c r="A109" s="768"/>
      <c r="B109" s="205">
        <v>11</v>
      </c>
      <c r="C109" s="206">
        <f>국내2!N351</f>
        <v>49027</v>
      </c>
      <c r="D109" s="552"/>
      <c r="E109" s="552"/>
      <c r="F109" s="259">
        <v>207973</v>
      </c>
      <c r="G109" s="556"/>
      <c r="H109" s="556"/>
      <c r="I109" s="208">
        <f t="shared" si="16"/>
        <v>257000</v>
      </c>
      <c r="J109" s="561"/>
      <c r="K109" s="561"/>
    </row>
    <row r="110" spans="1:11" ht="18" thickBot="1">
      <c r="A110" s="768"/>
      <c r="B110" s="209">
        <v>12</v>
      </c>
      <c r="C110" s="210">
        <f>국내2!O351</f>
        <v>46502</v>
      </c>
      <c r="D110" s="553"/>
      <c r="E110" s="553"/>
      <c r="F110" s="260">
        <v>180373</v>
      </c>
      <c r="G110" s="557"/>
      <c r="H110" s="557"/>
      <c r="I110" s="212">
        <f t="shared" si="16"/>
        <v>226875</v>
      </c>
      <c r="J110" s="561"/>
      <c r="K110" s="561"/>
    </row>
    <row r="111" spans="1:11" ht="18.600000000000001" thickTop="1" thickBot="1">
      <c r="A111" s="772"/>
      <c r="B111" s="255" t="s">
        <v>6</v>
      </c>
      <c r="C111" s="256">
        <f>SUM(C99:C110)</f>
        <v>521550</v>
      </c>
      <c r="D111" s="554"/>
      <c r="E111" s="554"/>
      <c r="F111" s="261">
        <f>SUM(F99:F110)</f>
        <v>2224671</v>
      </c>
      <c r="G111" s="558"/>
      <c r="H111" s="558"/>
      <c r="I111" s="257">
        <f>SUM(I99:I110)</f>
        <v>2746221</v>
      </c>
      <c r="J111" s="562"/>
      <c r="K111" s="562"/>
    </row>
    <row r="112" spans="1:11" ht="18" thickBot="1"/>
    <row r="113" spans="1:11">
      <c r="A113" s="783" t="s">
        <v>106</v>
      </c>
      <c r="B113" s="784"/>
      <c r="C113" s="777" t="s">
        <v>5</v>
      </c>
      <c r="D113" s="511"/>
      <c r="E113" s="594"/>
      <c r="F113" s="763" t="s">
        <v>105</v>
      </c>
      <c r="G113" s="513"/>
      <c r="H113" s="592"/>
      <c r="I113" s="770" t="s">
        <v>6</v>
      </c>
      <c r="J113" s="560"/>
      <c r="K113" s="560"/>
    </row>
    <row r="114" spans="1:11" ht="18" thickBot="1">
      <c r="A114" s="672"/>
      <c r="B114" s="785"/>
      <c r="C114" s="778"/>
      <c r="D114" s="512"/>
      <c r="E114" s="595"/>
      <c r="F114" s="764"/>
      <c r="G114" s="514"/>
      <c r="H114" s="593"/>
      <c r="I114" s="771"/>
      <c r="J114" s="560"/>
      <c r="K114" s="560"/>
    </row>
    <row r="115" spans="1:11">
      <c r="A115" s="767" t="s">
        <v>81</v>
      </c>
      <c r="B115" s="201">
        <v>1</v>
      </c>
      <c r="C115" s="202">
        <f>국내2!D390</f>
        <v>38505</v>
      </c>
      <c r="D115" s="551"/>
      <c r="E115" s="551"/>
      <c r="F115" s="258">
        <v>170188</v>
      </c>
      <c r="G115" s="555"/>
      <c r="H115" s="555"/>
      <c r="I115" s="204">
        <f t="shared" ref="I115:I126" si="17">C115+F115</f>
        <v>208693</v>
      </c>
      <c r="J115" s="561"/>
      <c r="K115" s="561"/>
    </row>
    <row r="116" spans="1:11">
      <c r="A116" s="768"/>
      <c r="B116" s="205">
        <v>2</v>
      </c>
      <c r="C116" s="206">
        <f>국내2!E390</f>
        <v>39110</v>
      </c>
      <c r="D116" s="552"/>
      <c r="E116" s="552"/>
      <c r="F116" s="259">
        <v>164503</v>
      </c>
      <c r="G116" s="556"/>
      <c r="H116" s="556"/>
      <c r="I116" s="208">
        <f t="shared" si="17"/>
        <v>203613</v>
      </c>
      <c r="J116" s="561"/>
      <c r="K116" s="561"/>
    </row>
    <row r="117" spans="1:11">
      <c r="A117" s="768"/>
      <c r="B117" s="205">
        <v>3</v>
      </c>
      <c r="C117" s="206">
        <f>국내2!F390</f>
        <v>50510</v>
      </c>
      <c r="D117" s="552"/>
      <c r="E117" s="552"/>
      <c r="F117" s="259">
        <v>218579</v>
      </c>
      <c r="G117" s="556"/>
      <c r="H117" s="556"/>
      <c r="I117" s="208">
        <f t="shared" si="17"/>
        <v>269089</v>
      </c>
      <c r="J117" s="561"/>
      <c r="K117" s="561"/>
    </row>
    <row r="118" spans="1:11">
      <c r="A118" s="768"/>
      <c r="B118" s="205">
        <v>4</v>
      </c>
      <c r="C118" s="206">
        <f>국내2!G390</f>
        <v>48505</v>
      </c>
      <c r="D118" s="552"/>
      <c r="E118" s="552"/>
      <c r="F118" s="259">
        <v>205711</v>
      </c>
      <c r="G118" s="556"/>
      <c r="H118" s="556"/>
      <c r="I118" s="208">
        <f t="shared" si="17"/>
        <v>254216</v>
      </c>
      <c r="J118" s="561"/>
      <c r="K118" s="561"/>
    </row>
    <row r="119" spans="1:11">
      <c r="A119" s="768"/>
      <c r="B119" s="205">
        <v>5</v>
      </c>
      <c r="C119" s="206">
        <f>국내2!H390</f>
        <v>47614</v>
      </c>
      <c r="D119" s="552"/>
      <c r="E119" s="552"/>
      <c r="F119" s="259">
        <v>207619</v>
      </c>
      <c r="G119" s="556"/>
      <c r="H119" s="556"/>
      <c r="I119" s="208">
        <f t="shared" si="17"/>
        <v>255233</v>
      </c>
      <c r="J119" s="561"/>
      <c r="K119" s="561"/>
    </row>
    <row r="120" spans="1:11">
      <c r="A120" s="768"/>
      <c r="B120" s="205">
        <v>6</v>
      </c>
      <c r="C120" s="206">
        <f>국내2!I390</f>
        <v>52506</v>
      </c>
      <c r="D120" s="552"/>
      <c r="E120" s="552"/>
      <c r="F120" s="259">
        <v>222694</v>
      </c>
      <c r="G120" s="556"/>
      <c r="H120" s="556"/>
      <c r="I120" s="208">
        <f t="shared" si="17"/>
        <v>275200</v>
      </c>
      <c r="J120" s="561"/>
      <c r="K120" s="561"/>
    </row>
    <row r="121" spans="1:11">
      <c r="A121" s="768"/>
      <c r="B121" s="205">
        <v>7</v>
      </c>
      <c r="C121" s="206">
        <f>국내2!J390</f>
        <v>44007</v>
      </c>
      <c r="D121" s="552"/>
      <c r="E121" s="552"/>
      <c r="F121" s="259">
        <v>196299</v>
      </c>
      <c r="G121" s="556"/>
      <c r="H121" s="556"/>
      <c r="I121" s="208">
        <f t="shared" si="17"/>
        <v>240306</v>
      </c>
      <c r="J121" s="561"/>
      <c r="K121" s="561"/>
    </row>
    <row r="122" spans="1:11">
      <c r="A122" s="768"/>
      <c r="B122" s="205">
        <v>8</v>
      </c>
      <c r="C122" s="206">
        <f>국내2!K390</f>
        <v>37403</v>
      </c>
      <c r="D122" s="552"/>
      <c r="E122" s="552"/>
      <c r="F122" s="259">
        <v>184588</v>
      </c>
      <c r="G122" s="556"/>
      <c r="H122" s="556"/>
      <c r="I122" s="208">
        <f t="shared" si="17"/>
        <v>221991</v>
      </c>
      <c r="J122" s="561"/>
      <c r="K122" s="561"/>
    </row>
    <row r="123" spans="1:11">
      <c r="A123" s="768"/>
      <c r="B123" s="205">
        <v>9</v>
      </c>
      <c r="C123" s="206">
        <f>국내2!L390</f>
        <v>38300</v>
      </c>
      <c r="D123" s="552"/>
      <c r="E123" s="552"/>
      <c r="F123" s="259">
        <v>205059</v>
      </c>
      <c r="G123" s="556"/>
      <c r="H123" s="556"/>
      <c r="I123" s="208">
        <f t="shared" si="17"/>
        <v>243359</v>
      </c>
      <c r="J123" s="561"/>
      <c r="K123" s="561"/>
    </row>
    <row r="124" spans="1:11">
      <c r="A124" s="768"/>
      <c r="B124" s="205">
        <v>10</v>
      </c>
      <c r="C124" s="206">
        <f>국내2!M390</f>
        <v>40034</v>
      </c>
      <c r="D124" s="552"/>
      <c r="E124" s="552"/>
      <c r="F124" s="259">
        <v>216113</v>
      </c>
      <c r="G124" s="556"/>
      <c r="H124" s="556"/>
      <c r="I124" s="208">
        <f t="shared" si="17"/>
        <v>256147</v>
      </c>
      <c r="J124" s="561"/>
      <c r="K124" s="561"/>
    </row>
    <row r="125" spans="1:11">
      <c r="A125" s="768"/>
      <c r="B125" s="205">
        <v>11</v>
      </c>
      <c r="C125" s="206">
        <f>국내2!N390</f>
        <v>48906</v>
      </c>
      <c r="D125" s="552"/>
      <c r="E125" s="552"/>
      <c r="F125" s="259">
        <v>229136</v>
      </c>
      <c r="G125" s="556"/>
      <c r="H125" s="556"/>
      <c r="I125" s="208">
        <f t="shared" si="17"/>
        <v>278042</v>
      </c>
      <c r="J125" s="561"/>
      <c r="K125" s="561"/>
    </row>
    <row r="126" spans="1:11" ht="18" thickBot="1">
      <c r="A126" s="768"/>
      <c r="B126" s="209">
        <v>12</v>
      </c>
      <c r="C126" s="210">
        <f>국내2!O390</f>
        <v>49600</v>
      </c>
      <c r="D126" s="553"/>
      <c r="E126" s="553"/>
      <c r="F126" s="260">
        <v>224394</v>
      </c>
      <c r="G126" s="557"/>
      <c r="H126" s="557"/>
      <c r="I126" s="212">
        <f t="shared" si="17"/>
        <v>273994</v>
      </c>
      <c r="J126" s="561"/>
      <c r="K126" s="561"/>
    </row>
    <row r="127" spans="1:11" ht="18.600000000000001" thickTop="1" thickBot="1">
      <c r="A127" s="772"/>
      <c r="B127" s="255" t="s">
        <v>6</v>
      </c>
      <c r="C127" s="256">
        <f>SUM(C115:C126)</f>
        <v>535000</v>
      </c>
      <c r="D127" s="554"/>
      <c r="E127" s="554"/>
      <c r="F127" s="261">
        <f>SUM(F115:F126)</f>
        <v>2444883</v>
      </c>
      <c r="G127" s="558"/>
      <c r="H127" s="558"/>
      <c r="I127" s="257">
        <f>SUM(I115:I126)</f>
        <v>2979883</v>
      </c>
      <c r="J127" s="562"/>
      <c r="K127" s="562"/>
    </row>
    <row r="128" spans="1:11" ht="18" thickBot="1"/>
    <row r="129" spans="1:11">
      <c r="A129" s="773"/>
      <c r="B129" s="774"/>
      <c r="C129" s="777" t="s">
        <v>5</v>
      </c>
      <c r="D129" s="511"/>
      <c r="E129" s="594"/>
      <c r="F129" s="763" t="s">
        <v>105</v>
      </c>
      <c r="G129" s="513"/>
      <c r="H129" s="592"/>
      <c r="I129" s="770" t="s">
        <v>6</v>
      </c>
      <c r="J129" s="560"/>
      <c r="K129" s="560"/>
    </row>
    <row r="130" spans="1:11" ht="18" thickBot="1">
      <c r="A130" s="775"/>
      <c r="B130" s="776"/>
      <c r="C130" s="778"/>
      <c r="D130" s="512"/>
      <c r="E130" s="595"/>
      <c r="F130" s="764"/>
      <c r="G130" s="514"/>
      <c r="H130" s="593"/>
      <c r="I130" s="771"/>
      <c r="J130" s="560"/>
      <c r="K130" s="560"/>
    </row>
    <row r="131" spans="1:11">
      <c r="A131" s="767" t="s">
        <v>64</v>
      </c>
      <c r="B131" s="201">
        <v>1</v>
      </c>
      <c r="C131" s="202">
        <f>국내2!D427</f>
        <v>36802</v>
      </c>
      <c r="D131" s="202"/>
      <c r="E131" s="202"/>
      <c r="F131" s="203">
        <v>216049</v>
      </c>
      <c r="G131" s="555"/>
      <c r="H131" s="555"/>
      <c r="I131" s="204">
        <f t="shared" ref="I131:I142" si="18">C131+F131</f>
        <v>252851</v>
      </c>
      <c r="J131" s="561"/>
      <c r="K131" s="561"/>
    </row>
    <row r="132" spans="1:11">
      <c r="A132" s="768"/>
      <c r="B132" s="205">
        <v>2</v>
      </c>
      <c r="C132" s="206">
        <f>국내2!E427</f>
        <v>35405</v>
      </c>
      <c r="D132" s="206"/>
      <c r="E132" s="206"/>
      <c r="F132" s="207">
        <v>186250</v>
      </c>
      <c r="G132" s="556"/>
      <c r="H132" s="556"/>
      <c r="I132" s="208">
        <f t="shared" si="18"/>
        <v>221655</v>
      </c>
      <c r="J132" s="561"/>
      <c r="K132" s="561"/>
    </row>
    <row r="133" spans="1:11">
      <c r="A133" s="768"/>
      <c r="B133" s="205">
        <v>3</v>
      </c>
      <c r="C133" s="206">
        <f>국내2!F427</f>
        <v>42305</v>
      </c>
      <c r="D133" s="206"/>
      <c r="E133" s="206"/>
      <c r="F133" s="207">
        <v>234351</v>
      </c>
      <c r="G133" s="556"/>
      <c r="H133" s="556"/>
      <c r="I133" s="208">
        <f t="shared" si="18"/>
        <v>276656</v>
      </c>
      <c r="J133" s="561"/>
      <c r="K133" s="561"/>
    </row>
    <row r="134" spans="1:11">
      <c r="A134" s="768"/>
      <c r="B134" s="205">
        <v>4</v>
      </c>
      <c r="C134" s="206">
        <f>국내2!G427</f>
        <v>43050</v>
      </c>
      <c r="D134" s="206"/>
      <c r="E134" s="206"/>
      <c r="F134" s="207">
        <v>229265</v>
      </c>
      <c r="G134" s="556"/>
      <c r="H134" s="556"/>
      <c r="I134" s="208">
        <f t="shared" si="18"/>
        <v>272315</v>
      </c>
      <c r="J134" s="561"/>
      <c r="K134" s="561"/>
    </row>
    <row r="135" spans="1:11">
      <c r="A135" s="768"/>
      <c r="B135" s="205">
        <v>5</v>
      </c>
      <c r="C135" s="206">
        <f>국내2!H427</f>
        <v>40010</v>
      </c>
      <c r="D135" s="206"/>
      <c r="E135" s="206"/>
      <c r="F135" s="207">
        <v>202036</v>
      </c>
      <c r="G135" s="556"/>
      <c r="H135" s="556"/>
      <c r="I135" s="208">
        <f t="shared" si="18"/>
        <v>242046</v>
      </c>
      <c r="J135" s="561"/>
      <c r="K135" s="561"/>
    </row>
    <row r="136" spans="1:11">
      <c r="A136" s="768"/>
      <c r="B136" s="205">
        <v>6</v>
      </c>
      <c r="C136" s="206">
        <f>국내2!I427</f>
        <v>45010</v>
      </c>
      <c r="D136" s="206"/>
      <c r="E136" s="206"/>
      <c r="F136" s="207">
        <v>218245</v>
      </c>
      <c r="G136" s="556"/>
      <c r="H136" s="556"/>
      <c r="I136" s="208">
        <f t="shared" si="18"/>
        <v>263255</v>
      </c>
      <c r="J136" s="561"/>
      <c r="K136" s="561"/>
    </row>
    <row r="137" spans="1:11">
      <c r="A137" s="768"/>
      <c r="B137" s="205">
        <v>7</v>
      </c>
      <c r="C137" s="206">
        <f>국내2!J427</f>
        <v>48202</v>
      </c>
      <c r="D137" s="206"/>
      <c r="E137" s="206"/>
      <c r="F137" s="207">
        <v>186321</v>
      </c>
      <c r="G137" s="556"/>
      <c r="H137" s="556"/>
      <c r="I137" s="208">
        <f t="shared" si="18"/>
        <v>234523</v>
      </c>
      <c r="J137" s="561"/>
      <c r="K137" s="561"/>
    </row>
    <row r="138" spans="1:11">
      <c r="A138" s="768"/>
      <c r="B138" s="205">
        <v>8</v>
      </c>
      <c r="C138" s="206">
        <f>국내2!K427</f>
        <v>41740</v>
      </c>
      <c r="D138" s="206"/>
      <c r="E138" s="206"/>
      <c r="F138" s="207">
        <v>154292</v>
      </c>
      <c r="G138" s="556"/>
      <c r="H138" s="556"/>
      <c r="I138" s="208">
        <f t="shared" si="18"/>
        <v>196032</v>
      </c>
      <c r="J138" s="561"/>
      <c r="K138" s="561"/>
    </row>
    <row r="139" spans="1:11">
      <c r="A139" s="768"/>
      <c r="B139" s="205">
        <v>9</v>
      </c>
      <c r="C139" s="206">
        <f>국내2!L427</f>
        <v>45010</v>
      </c>
      <c r="D139" s="206"/>
      <c r="E139" s="206"/>
      <c r="F139" s="207">
        <v>183323</v>
      </c>
      <c r="G139" s="556"/>
      <c r="H139" s="556"/>
      <c r="I139" s="208">
        <f t="shared" si="18"/>
        <v>228333</v>
      </c>
      <c r="J139" s="561"/>
      <c r="K139" s="561"/>
    </row>
    <row r="140" spans="1:11">
      <c r="A140" s="768"/>
      <c r="B140" s="205">
        <v>10</v>
      </c>
      <c r="C140" s="206">
        <f>국내2!M427</f>
        <v>46605</v>
      </c>
      <c r="D140" s="206"/>
      <c r="E140" s="206"/>
      <c r="F140" s="207">
        <v>222334</v>
      </c>
      <c r="G140" s="556"/>
      <c r="H140" s="556"/>
      <c r="I140" s="208">
        <f t="shared" si="18"/>
        <v>268939</v>
      </c>
      <c r="J140" s="561"/>
      <c r="K140" s="561"/>
    </row>
    <row r="141" spans="1:11">
      <c r="A141" s="768"/>
      <c r="B141" s="205">
        <v>11</v>
      </c>
      <c r="C141" s="206">
        <f>국내2!N427</f>
        <v>50031</v>
      </c>
      <c r="D141" s="206"/>
      <c r="E141" s="206"/>
      <c r="F141" s="207">
        <v>236141</v>
      </c>
      <c r="G141" s="556"/>
      <c r="H141" s="556"/>
      <c r="I141" s="208">
        <f t="shared" si="18"/>
        <v>286172</v>
      </c>
      <c r="J141" s="561"/>
      <c r="K141" s="561"/>
    </row>
    <row r="142" spans="1:11" ht="18" thickBot="1">
      <c r="A142" s="769"/>
      <c r="B142" s="209">
        <v>12</v>
      </c>
      <c r="C142" s="210">
        <f>국내2!O427</f>
        <v>53330</v>
      </c>
      <c r="D142" s="210"/>
      <c r="E142" s="210"/>
      <c r="F142" s="211">
        <v>254736</v>
      </c>
      <c r="G142" s="557"/>
      <c r="H142" s="557"/>
      <c r="I142" s="212">
        <f t="shared" si="18"/>
        <v>308066</v>
      </c>
      <c r="J142" s="561"/>
      <c r="K142" s="561"/>
    </row>
    <row r="143" spans="1:11" ht="18.600000000000001" thickTop="1" thickBot="1">
      <c r="A143" s="509"/>
      <c r="B143" s="213" t="s">
        <v>6</v>
      </c>
      <c r="C143" s="214">
        <f>SUM(C131:C142)</f>
        <v>527500</v>
      </c>
      <c r="D143" s="214"/>
      <c r="E143" s="214"/>
      <c r="F143" s="215">
        <f>SUM(F131:F142)</f>
        <v>2523343</v>
      </c>
      <c r="G143" s="559"/>
      <c r="H143" s="559"/>
      <c r="I143" s="216">
        <f>SUM(I131:I142)</f>
        <v>3050843</v>
      </c>
      <c r="J143" s="561"/>
      <c r="K143" s="561"/>
    </row>
    <row r="144" spans="1:11" ht="18" thickBot="1"/>
    <row r="145" spans="1:11">
      <c r="A145" s="773"/>
      <c r="B145" s="774"/>
      <c r="C145" s="777" t="s">
        <v>5</v>
      </c>
      <c r="D145" s="511"/>
      <c r="E145" s="594"/>
      <c r="F145" s="763" t="s">
        <v>105</v>
      </c>
      <c r="G145" s="513"/>
      <c r="H145" s="592"/>
      <c r="I145" s="770" t="s">
        <v>6</v>
      </c>
      <c r="J145" s="560"/>
      <c r="K145" s="560"/>
    </row>
    <row r="146" spans="1:11" ht="18" thickBot="1">
      <c r="A146" s="775"/>
      <c r="B146" s="776"/>
      <c r="C146" s="778"/>
      <c r="D146" s="512"/>
      <c r="E146" s="595"/>
      <c r="F146" s="764"/>
      <c r="G146" s="514"/>
      <c r="H146" s="593"/>
      <c r="I146" s="771"/>
      <c r="J146" s="560"/>
      <c r="K146" s="560"/>
    </row>
    <row r="147" spans="1:11">
      <c r="A147" s="767" t="s">
        <v>353</v>
      </c>
      <c r="B147" s="201">
        <v>1</v>
      </c>
      <c r="C147" s="202">
        <f>국내2!D467</f>
        <v>34000</v>
      </c>
      <c r="D147" s="202"/>
      <c r="E147" s="202"/>
      <c r="F147" s="203">
        <v>223399</v>
      </c>
      <c r="G147" s="555"/>
      <c r="H147" s="555"/>
      <c r="I147" s="204">
        <f t="shared" ref="I147:I158" si="19">C147+F147</f>
        <v>257399</v>
      </c>
      <c r="J147" s="561"/>
      <c r="K147" s="561"/>
    </row>
    <row r="148" spans="1:11">
      <c r="A148" s="768"/>
      <c r="B148" s="205">
        <v>2</v>
      </c>
      <c r="C148" s="206">
        <f>국내2!E467</f>
        <v>35000</v>
      </c>
      <c r="D148" s="206"/>
      <c r="E148" s="206"/>
      <c r="F148" s="207">
        <v>207797</v>
      </c>
      <c r="G148" s="556"/>
      <c r="H148" s="556"/>
      <c r="I148" s="208">
        <f t="shared" si="19"/>
        <v>242797</v>
      </c>
      <c r="J148" s="561"/>
      <c r="K148" s="561"/>
    </row>
    <row r="149" spans="1:11">
      <c r="A149" s="768"/>
      <c r="B149" s="205">
        <v>3</v>
      </c>
      <c r="C149" s="206">
        <f>국내2!F467</f>
        <v>39005</v>
      </c>
      <c r="D149" s="206"/>
      <c r="E149" s="206"/>
      <c r="F149" s="207">
        <v>232705</v>
      </c>
      <c r="G149" s="556"/>
      <c r="H149" s="556"/>
      <c r="I149" s="208">
        <f t="shared" si="19"/>
        <v>271710</v>
      </c>
      <c r="J149" s="561"/>
      <c r="K149" s="561"/>
    </row>
    <row r="150" spans="1:11">
      <c r="A150" s="768"/>
      <c r="B150" s="205">
        <v>4</v>
      </c>
      <c r="C150" s="206">
        <f>국내2!G467</f>
        <v>39005</v>
      </c>
      <c r="D150" s="206"/>
      <c r="E150" s="206"/>
      <c r="F150" s="207">
        <v>237294</v>
      </c>
      <c r="G150" s="556"/>
      <c r="H150" s="556"/>
      <c r="I150" s="208">
        <f t="shared" si="19"/>
        <v>276299</v>
      </c>
      <c r="J150" s="561"/>
      <c r="K150" s="561"/>
    </row>
    <row r="151" spans="1:11">
      <c r="A151" s="768"/>
      <c r="B151" s="205">
        <v>5</v>
      </c>
      <c r="C151" s="206">
        <f>국내2!H467</f>
        <v>36252</v>
      </c>
      <c r="D151" s="206"/>
      <c r="E151" s="206"/>
      <c r="F151" s="207">
        <v>217349</v>
      </c>
      <c r="G151" s="556"/>
      <c r="H151" s="556"/>
      <c r="I151" s="208">
        <f t="shared" si="19"/>
        <v>253601</v>
      </c>
      <c r="J151" s="561"/>
      <c r="K151" s="561"/>
    </row>
    <row r="152" spans="1:11">
      <c r="A152" s="768"/>
      <c r="B152" s="205">
        <v>6</v>
      </c>
      <c r="C152" s="206">
        <f>국내2!I467</f>
        <v>35502</v>
      </c>
      <c r="D152" s="206"/>
      <c r="E152" s="206"/>
      <c r="F152" s="207">
        <v>209985</v>
      </c>
      <c r="G152" s="556"/>
      <c r="H152" s="556"/>
      <c r="I152" s="208">
        <f t="shared" si="19"/>
        <v>245487</v>
      </c>
      <c r="J152" s="561"/>
      <c r="K152" s="561"/>
    </row>
    <row r="153" spans="1:11">
      <c r="A153" s="768"/>
      <c r="B153" s="205">
        <v>7</v>
      </c>
      <c r="C153" s="206">
        <f>국내2!J467</f>
        <v>42305</v>
      </c>
      <c r="D153" s="206"/>
      <c r="E153" s="206"/>
      <c r="F153" s="207">
        <v>220212</v>
      </c>
      <c r="G153" s="556"/>
      <c r="H153" s="556"/>
      <c r="I153" s="208">
        <f t="shared" si="19"/>
        <v>262517</v>
      </c>
      <c r="J153" s="561"/>
      <c r="K153" s="561"/>
    </row>
    <row r="154" spans="1:11">
      <c r="A154" s="768"/>
      <c r="B154" s="205">
        <v>8</v>
      </c>
      <c r="C154" s="206">
        <f>국내2!K467</f>
        <v>36003</v>
      </c>
      <c r="D154" s="206"/>
      <c r="E154" s="206"/>
      <c r="F154" s="207">
        <v>181434</v>
      </c>
      <c r="G154" s="556"/>
      <c r="H154" s="556"/>
      <c r="I154" s="208">
        <f t="shared" si="19"/>
        <v>217437</v>
      </c>
      <c r="J154" s="561"/>
      <c r="K154" s="561"/>
    </row>
    <row r="155" spans="1:11">
      <c r="A155" s="768"/>
      <c r="B155" s="205">
        <v>9</v>
      </c>
      <c r="C155" s="206">
        <f>국내2!L467</f>
        <v>38605</v>
      </c>
      <c r="D155" s="206"/>
      <c r="E155" s="206"/>
      <c r="F155" s="207">
        <v>193559</v>
      </c>
      <c r="G155" s="556"/>
      <c r="H155" s="556"/>
      <c r="I155" s="208">
        <f t="shared" si="19"/>
        <v>232164</v>
      </c>
      <c r="J155" s="561"/>
      <c r="K155" s="561"/>
    </row>
    <row r="156" spans="1:11">
      <c r="A156" s="768"/>
      <c r="B156" s="205">
        <v>10</v>
      </c>
      <c r="C156" s="206">
        <f>국내2!M467</f>
        <v>37005</v>
      </c>
      <c r="D156" s="206"/>
      <c r="E156" s="206"/>
      <c r="F156" s="207">
        <v>194690</v>
      </c>
      <c r="G156" s="556"/>
      <c r="H156" s="556"/>
      <c r="I156" s="208">
        <f t="shared" si="19"/>
        <v>231695</v>
      </c>
      <c r="J156" s="561"/>
      <c r="K156" s="561"/>
    </row>
    <row r="157" spans="1:11">
      <c r="A157" s="768"/>
      <c r="B157" s="205">
        <v>11</v>
      </c>
      <c r="C157" s="206">
        <f>국내2!N467</f>
        <v>44500</v>
      </c>
      <c r="D157" s="206"/>
      <c r="E157" s="206"/>
      <c r="F157" s="207">
        <v>223602</v>
      </c>
      <c r="G157" s="556"/>
      <c r="H157" s="556"/>
      <c r="I157" s="208">
        <f t="shared" si="19"/>
        <v>268102</v>
      </c>
      <c r="J157" s="561"/>
      <c r="K157" s="561"/>
    </row>
    <row r="158" spans="1:11" ht="18" thickBot="1">
      <c r="A158" s="769"/>
      <c r="B158" s="209">
        <v>12</v>
      </c>
      <c r="C158" s="210">
        <f>국내2!O467</f>
        <v>48018</v>
      </c>
      <c r="D158" s="210"/>
      <c r="E158" s="210"/>
      <c r="F158" s="211">
        <v>234459</v>
      </c>
      <c r="G158" s="557"/>
      <c r="H158" s="557"/>
      <c r="I158" s="212">
        <f t="shared" si="19"/>
        <v>282477</v>
      </c>
      <c r="J158" s="561"/>
      <c r="K158" s="561"/>
    </row>
    <row r="159" spans="1:11" ht="18.600000000000001" thickTop="1" thickBot="1">
      <c r="A159" s="509"/>
      <c r="B159" s="213" t="s">
        <v>6</v>
      </c>
      <c r="C159" s="214">
        <f>SUM(C147:C158)</f>
        <v>465200</v>
      </c>
      <c r="D159" s="214"/>
      <c r="E159" s="214"/>
      <c r="F159" s="215">
        <f>SUM(F147:F158)</f>
        <v>2576485</v>
      </c>
      <c r="G159" s="559"/>
      <c r="H159" s="559"/>
      <c r="I159" s="216">
        <f>SUM(I147:I158)</f>
        <v>3041685</v>
      </c>
      <c r="J159" s="561"/>
      <c r="K159" s="561"/>
    </row>
    <row r="160" spans="1:11" ht="18" thickBot="1"/>
    <row r="161" spans="1:11">
      <c r="A161" s="773"/>
      <c r="B161" s="774"/>
      <c r="C161" s="777" t="s">
        <v>5</v>
      </c>
      <c r="D161" s="511"/>
      <c r="E161" s="594"/>
      <c r="F161" s="763" t="s">
        <v>105</v>
      </c>
      <c r="G161" s="513"/>
      <c r="H161" s="592"/>
      <c r="I161" s="770" t="s">
        <v>6</v>
      </c>
      <c r="J161" s="560"/>
      <c r="K161" s="560"/>
    </row>
    <row r="162" spans="1:11" ht="18" thickBot="1">
      <c r="A162" s="775"/>
      <c r="B162" s="776"/>
      <c r="C162" s="778"/>
      <c r="D162" s="512"/>
      <c r="E162" s="595"/>
      <c r="F162" s="764"/>
      <c r="G162" s="514"/>
      <c r="H162" s="593"/>
      <c r="I162" s="771"/>
      <c r="J162" s="560"/>
      <c r="K162" s="560"/>
    </row>
    <row r="163" spans="1:11">
      <c r="A163" s="767" t="s">
        <v>53</v>
      </c>
      <c r="B163" s="201">
        <v>1</v>
      </c>
      <c r="C163" s="202">
        <f>국내2!D502</f>
        <v>36250</v>
      </c>
      <c r="D163" s="202"/>
      <c r="E163" s="202"/>
      <c r="F163" s="203">
        <v>224528</v>
      </c>
      <c r="G163" s="555"/>
      <c r="H163" s="555"/>
      <c r="I163" s="204">
        <f t="shared" ref="I163:I174" si="20">C163+F163</f>
        <v>260778</v>
      </c>
      <c r="J163" s="561"/>
      <c r="K163" s="561"/>
    </row>
    <row r="164" spans="1:11">
      <c r="A164" s="768"/>
      <c r="B164" s="205">
        <v>2</v>
      </c>
      <c r="C164" s="206">
        <f>국내2!E502</f>
        <v>32900</v>
      </c>
      <c r="D164" s="206"/>
      <c r="E164" s="206"/>
      <c r="F164" s="207">
        <v>172441</v>
      </c>
      <c r="G164" s="556"/>
      <c r="H164" s="556"/>
      <c r="I164" s="208">
        <f t="shared" si="20"/>
        <v>205341</v>
      </c>
      <c r="J164" s="561"/>
      <c r="K164" s="561"/>
    </row>
    <row r="165" spans="1:11">
      <c r="A165" s="768"/>
      <c r="B165" s="205">
        <v>3</v>
      </c>
      <c r="C165" s="206">
        <f>국내2!F502</f>
        <v>39500</v>
      </c>
      <c r="D165" s="206"/>
      <c r="E165" s="206"/>
      <c r="F165" s="207">
        <v>196576</v>
      </c>
      <c r="G165" s="556"/>
      <c r="H165" s="556"/>
      <c r="I165" s="208">
        <f t="shared" si="20"/>
        <v>236076</v>
      </c>
      <c r="J165" s="561"/>
      <c r="K165" s="561"/>
    </row>
    <row r="166" spans="1:11">
      <c r="A166" s="768"/>
      <c r="B166" s="205">
        <v>4</v>
      </c>
      <c r="C166" s="206">
        <f>국내2!G502</f>
        <v>40554</v>
      </c>
      <c r="D166" s="206"/>
      <c r="E166" s="206"/>
      <c r="F166" s="207">
        <v>212116</v>
      </c>
      <c r="G166" s="556"/>
      <c r="H166" s="556"/>
      <c r="I166" s="208">
        <f t="shared" si="20"/>
        <v>252670</v>
      </c>
      <c r="J166" s="561"/>
      <c r="K166" s="561"/>
    </row>
    <row r="167" spans="1:11">
      <c r="A167" s="768"/>
      <c r="B167" s="205">
        <v>5</v>
      </c>
      <c r="C167" s="206">
        <f>국내2!H502</f>
        <v>39500</v>
      </c>
      <c r="D167" s="206"/>
      <c r="E167" s="206"/>
      <c r="F167" s="207">
        <v>214181</v>
      </c>
      <c r="G167" s="556"/>
      <c r="H167" s="556"/>
      <c r="I167" s="208">
        <f t="shared" si="20"/>
        <v>253681</v>
      </c>
      <c r="J167" s="561"/>
      <c r="K167" s="561"/>
    </row>
    <row r="168" spans="1:11">
      <c r="A168" s="768"/>
      <c r="B168" s="205">
        <v>6</v>
      </c>
      <c r="C168" s="206">
        <f>국내2!I502</f>
        <v>37700</v>
      </c>
      <c r="D168" s="206"/>
      <c r="E168" s="206"/>
      <c r="F168" s="207">
        <v>199289</v>
      </c>
      <c r="G168" s="556"/>
      <c r="H168" s="556"/>
      <c r="I168" s="208">
        <f t="shared" si="20"/>
        <v>236989</v>
      </c>
      <c r="J168" s="561"/>
      <c r="K168" s="561"/>
    </row>
    <row r="169" spans="1:11">
      <c r="A169" s="768"/>
      <c r="B169" s="205">
        <v>7</v>
      </c>
      <c r="C169" s="206">
        <f>국내2!J502</f>
        <v>41500</v>
      </c>
      <c r="D169" s="206"/>
      <c r="E169" s="206"/>
      <c r="F169" s="207">
        <v>170650</v>
      </c>
      <c r="G169" s="556"/>
      <c r="H169" s="556"/>
      <c r="I169" s="208">
        <f t="shared" si="20"/>
        <v>212150</v>
      </c>
      <c r="J169" s="561"/>
      <c r="K169" s="561"/>
    </row>
    <row r="170" spans="1:11">
      <c r="A170" s="768"/>
      <c r="B170" s="205">
        <v>8</v>
      </c>
      <c r="C170" s="206">
        <f>국내2!K502</f>
        <v>39000</v>
      </c>
      <c r="D170" s="206"/>
      <c r="E170" s="206"/>
      <c r="F170" s="207">
        <v>185229</v>
      </c>
      <c r="G170" s="556"/>
      <c r="H170" s="556"/>
      <c r="I170" s="208">
        <f t="shared" si="20"/>
        <v>224229</v>
      </c>
      <c r="J170" s="561"/>
      <c r="K170" s="561"/>
    </row>
    <row r="171" spans="1:11">
      <c r="A171" s="768"/>
      <c r="B171" s="205">
        <v>9</v>
      </c>
      <c r="C171" s="206">
        <f>국내2!L502</f>
        <v>32123</v>
      </c>
      <c r="D171" s="206"/>
      <c r="E171" s="206"/>
      <c r="F171" s="207">
        <v>161686</v>
      </c>
      <c r="G171" s="556"/>
      <c r="H171" s="556"/>
      <c r="I171" s="208">
        <f t="shared" si="20"/>
        <v>193809</v>
      </c>
      <c r="J171" s="561"/>
      <c r="K171" s="561"/>
    </row>
    <row r="172" spans="1:11">
      <c r="A172" s="768"/>
      <c r="B172" s="205">
        <v>10</v>
      </c>
      <c r="C172" s="206">
        <f>국내2!M502</f>
        <v>39000</v>
      </c>
      <c r="D172" s="206"/>
      <c r="E172" s="206"/>
      <c r="F172" s="207">
        <v>210137</v>
      </c>
      <c r="G172" s="556"/>
      <c r="H172" s="556"/>
      <c r="I172" s="208">
        <f t="shared" si="20"/>
        <v>249137</v>
      </c>
      <c r="J172" s="561"/>
      <c r="K172" s="561"/>
    </row>
    <row r="173" spans="1:11">
      <c r="A173" s="768"/>
      <c r="B173" s="205">
        <v>11</v>
      </c>
      <c r="C173" s="206">
        <f>국내2!N502</f>
        <v>38952</v>
      </c>
      <c r="D173" s="206"/>
      <c r="E173" s="206"/>
      <c r="F173" s="207">
        <v>218309</v>
      </c>
      <c r="G173" s="556"/>
      <c r="H173" s="556"/>
      <c r="I173" s="208">
        <f t="shared" si="20"/>
        <v>257261</v>
      </c>
      <c r="J173" s="561"/>
      <c r="K173" s="561"/>
    </row>
    <row r="174" spans="1:11" ht="18" thickBot="1">
      <c r="A174" s="769"/>
      <c r="B174" s="209">
        <v>12</v>
      </c>
      <c r="C174" s="210">
        <f>국내2!O502</f>
        <v>41021</v>
      </c>
      <c r="D174" s="210"/>
      <c r="E174" s="210"/>
      <c r="F174" s="211">
        <v>204163</v>
      </c>
      <c r="G174" s="557"/>
      <c r="H174" s="557"/>
      <c r="I174" s="212">
        <f t="shared" si="20"/>
        <v>245184</v>
      </c>
      <c r="J174" s="561"/>
      <c r="K174" s="561"/>
    </row>
    <row r="175" spans="1:11" ht="18.600000000000001" thickTop="1" thickBot="1">
      <c r="A175" s="509"/>
      <c r="B175" s="213" t="s">
        <v>6</v>
      </c>
      <c r="C175" s="214">
        <f>SUM(C163:C174)</f>
        <v>458000</v>
      </c>
      <c r="D175" s="214"/>
      <c r="E175" s="214"/>
      <c r="F175" s="215">
        <f>SUM(F163:F174)</f>
        <v>2369305</v>
      </c>
      <c r="G175" s="559"/>
      <c r="H175" s="559"/>
      <c r="I175" s="216">
        <f>SUM(I163:I174)</f>
        <v>2827305</v>
      </c>
      <c r="J175" s="561"/>
      <c r="K175" s="561"/>
    </row>
    <row r="176" spans="1:11" ht="18" thickBot="1"/>
    <row r="177" spans="1:11">
      <c r="A177" s="773"/>
      <c r="B177" s="774"/>
      <c r="C177" s="777" t="s">
        <v>5</v>
      </c>
      <c r="D177" s="511"/>
      <c r="E177" s="594"/>
      <c r="F177" s="763" t="s">
        <v>105</v>
      </c>
      <c r="G177" s="513"/>
      <c r="H177" s="592"/>
      <c r="I177" s="770" t="s">
        <v>6</v>
      </c>
      <c r="J177" s="560"/>
      <c r="K177" s="560"/>
    </row>
    <row r="178" spans="1:11" ht="18" thickBot="1">
      <c r="A178" s="775"/>
      <c r="B178" s="776"/>
      <c r="C178" s="778"/>
      <c r="D178" s="512"/>
      <c r="E178" s="595"/>
      <c r="F178" s="764"/>
      <c r="G178" s="514"/>
      <c r="H178" s="593"/>
      <c r="I178" s="771"/>
      <c r="J178" s="560"/>
      <c r="K178" s="560"/>
    </row>
    <row r="179" spans="1:11">
      <c r="A179" s="767" t="s">
        <v>52</v>
      </c>
      <c r="B179" s="201">
        <v>1</v>
      </c>
      <c r="C179" s="202">
        <f>국내2!D538</f>
        <v>34210</v>
      </c>
      <c r="D179" s="202"/>
      <c r="E179" s="202"/>
      <c r="F179" s="203">
        <v>176906</v>
      </c>
      <c r="G179" s="555"/>
      <c r="H179" s="555"/>
      <c r="I179" s="204">
        <f t="shared" ref="I179:I190" si="21">C179+F179</f>
        <v>211116</v>
      </c>
      <c r="J179" s="561"/>
      <c r="K179" s="561"/>
    </row>
    <row r="180" spans="1:11">
      <c r="A180" s="768"/>
      <c r="B180" s="205">
        <v>2</v>
      </c>
      <c r="C180" s="206">
        <f>국내2!E538</f>
        <v>40012</v>
      </c>
      <c r="D180" s="206"/>
      <c r="E180" s="206"/>
      <c r="F180" s="207">
        <v>200106</v>
      </c>
      <c r="G180" s="556"/>
      <c r="H180" s="556"/>
      <c r="I180" s="208">
        <f t="shared" si="21"/>
        <v>240118</v>
      </c>
      <c r="J180" s="561"/>
      <c r="K180" s="561"/>
    </row>
    <row r="181" spans="1:11">
      <c r="A181" s="768"/>
      <c r="B181" s="205">
        <v>3</v>
      </c>
      <c r="C181" s="206">
        <f>국내2!F538</f>
        <v>42050</v>
      </c>
      <c r="D181" s="206"/>
      <c r="E181" s="206"/>
      <c r="F181" s="207">
        <v>198445</v>
      </c>
      <c r="G181" s="556"/>
      <c r="H181" s="556"/>
      <c r="I181" s="208">
        <f t="shared" si="21"/>
        <v>240495</v>
      </c>
      <c r="J181" s="561"/>
      <c r="K181" s="561"/>
    </row>
    <row r="182" spans="1:11">
      <c r="A182" s="768"/>
      <c r="B182" s="205">
        <v>4</v>
      </c>
      <c r="C182" s="206">
        <f>국내2!G538</f>
        <v>40005</v>
      </c>
      <c r="D182" s="206"/>
      <c r="E182" s="206"/>
      <c r="F182" s="207">
        <v>192515</v>
      </c>
      <c r="G182" s="556"/>
      <c r="H182" s="556"/>
      <c r="I182" s="208">
        <f t="shared" si="21"/>
        <v>232520</v>
      </c>
      <c r="J182" s="561"/>
      <c r="K182" s="561"/>
    </row>
    <row r="183" spans="1:11">
      <c r="A183" s="768"/>
      <c r="B183" s="205">
        <v>5</v>
      </c>
      <c r="C183" s="206">
        <f>국내2!H538</f>
        <v>40750</v>
      </c>
      <c r="D183" s="206"/>
      <c r="E183" s="206"/>
      <c r="F183" s="207">
        <v>198827</v>
      </c>
      <c r="G183" s="556"/>
      <c r="H183" s="556"/>
      <c r="I183" s="208">
        <f t="shared" si="21"/>
        <v>239577</v>
      </c>
      <c r="J183" s="561"/>
      <c r="K183" s="561"/>
    </row>
    <row r="184" spans="1:11">
      <c r="A184" s="768"/>
      <c r="B184" s="205">
        <v>6</v>
      </c>
      <c r="C184" s="206">
        <f>국내2!I538</f>
        <v>42111</v>
      </c>
      <c r="D184" s="206"/>
      <c r="E184" s="206"/>
      <c r="F184" s="207">
        <v>190170</v>
      </c>
      <c r="G184" s="556"/>
      <c r="H184" s="556"/>
      <c r="I184" s="208">
        <f t="shared" si="21"/>
        <v>232281</v>
      </c>
      <c r="J184" s="561"/>
      <c r="K184" s="561"/>
    </row>
    <row r="185" spans="1:11">
      <c r="A185" s="768"/>
      <c r="B185" s="205">
        <v>7</v>
      </c>
      <c r="C185" s="206">
        <f>국내2!J538</f>
        <v>40300</v>
      </c>
      <c r="D185" s="206"/>
      <c r="E185" s="206"/>
      <c r="F185" s="207">
        <v>168116</v>
      </c>
      <c r="G185" s="556"/>
      <c r="H185" s="556"/>
      <c r="I185" s="208">
        <f t="shared" si="21"/>
        <v>208416</v>
      </c>
      <c r="J185" s="561"/>
      <c r="K185" s="561"/>
    </row>
    <row r="186" spans="1:11">
      <c r="A186" s="768"/>
      <c r="B186" s="205">
        <v>8</v>
      </c>
      <c r="C186" s="206">
        <f>국내2!K538</f>
        <v>32078</v>
      </c>
      <c r="D186" s="206"/>
      <c r="E186" s="206"/>
      <c r="F186" s="207">
        <v>158792</v>
      </c>
      <c r="G186" s="556"/>
      <c r="H186" s="556"/>
      <c r="I186" s="208">
        <f t="shared" si="21"/>
        <v>190870</v>
      </c>
      <c r="J186" s="561"/>
      <c r="K186" s="561"/>
    </row>
    <row r="187" spans="1:11">
      <c r="A187" s="768"/>
      <c r="B187" s="205">
        <v>9</v>
      </c>
      <c r="C187" s="206">
        <f>국내2!L538</f>
        <v>39030</v>
      </c>
      <c r="D187" s="206"/>
      <c r="E187" s="206"/>
      <c r="F187" s="207">
        <v>175349</v>
      </c>
      <c r="G187" s="556"/>
      <c r="H187" s="556"/>
      <c r="I187" s="208">
        <f t="shared" si="21"/>
        <v>214379</v>
      </c>
      <c r="J187" s="561"/>
      <c r="K187" s="561"/>
    </row>
    <row r="188" spans="1:11">
      <c r="A188" s="768"/>
      <c r="B188" s="205">
        <v>10</v>
      </c>
      <c r="C188" s="206">
        <f>국내2!M538</f>
        <v>40600</v>
      </c>
      <c r="D188" s="206"/>
      <c r="E188" s="206"/>
      <c r="F188" s="207">
        <v>190888</v>
      </c>
      <c r="G188" s="556"/>
      <c r="H188" s="556"/>
      <c r="I188" s="208">
        <f t="shared" si="21"/>
        <v>231488</v>
      </c>
      <c r="J188" s="561"/>
      <c r="K188" s="561"/>
    </row>
    <row r="189" spans="1:11">
      <c r="A189" s="768"/>
      <c r="B189" s="205">
        <v>11</v>
      </c>
      <c r="C189" s="206">
        <f>국내2!N538</f>
        <v>44400</v>
      </c>
      <c r="D189" s="206"/>
      <c r="E189" s="206"/>
      <c r="F189" s="207">
        <v>213743</v>
      </c>
      <c r="G189" s="556"/>
      <c r="H189" s="556"/>
      <c r="I189" s="208">
        <f t="shared" si="21"/>
        <v>258143</v>
      </c>
      <c r="J189" s="561"/>
      <c r="K189" s="561"/>
    </row>
    <row r="190" spans="1:11" ht="18" thickBot="1">
      <c r="A190" s="769"/>
      <c r="B190" s="209">
        <v>12</v>
      </c>
      <c r="C190" s="210">
        <f>국내2!O538</f>
        <v>46514</v>
      </c>
      <c r="D190" s="210"/>
      <c r="E190" s="210"/>
      <c r="F190" s="211">
        <v>174818</v>
      </c>
      <c r="G190" s="557"/>
      <c r="H190" s="557"/>
      <c r="I190" s="212">
        <f t="shared" si="21"/>
        <v>221332</v>
      </c>
      <c r="J190" s="561"/>
      <c r="K190" s="561"/>
    </row>
    <row r="191" spans="1:11" ht="18.600000000000001" thickTop="1" thickBot="1">
      <c r="A191" s="509"/>
      <c r="B191" s="213" t="s">
        <v>6</v>
      </c>
      <c r="C191" s="214">
        <f>SUM(C179:C190)</f>
        <v>482060</v>
      </c>
      <c r="D191" s="214"/>
      <c r="E191" s="214"/>
      <c r="F191" s="215">
        <f>SUM(F179:F190)</f>
        <v>2238675</v>
      </c>
      <c r="G191" s="559"/>
      <c r="H191" s="559"/>
      <c r="I191" s="216">
        <f>SUM(I179:I190)</f>
        <v>2720735</v>
      </c>
      <c r="J191" s="561"/>
      <c r="K191" s="561"/>
    </row>
    <row r="192" spans="1:11" ht="18" thickBot="1"/>
    <row r="193" spans="1:11">
      <c r="A193" s="773"/>
      <c r="B193" s="774"/>
      <c r="C193" s="777" t="s">
        <v>5</v>
      </c>
      <c r="D193" s="511"/>
      <c r="E193" s="594"/>
      <c r="F193" s="763" t="s">
        <v>105</v>
      </c>
      <c r="G193" s="513"/>
      <c r="H193" s="592"/>
      <c r="I193" s="770" t="s">
        <v>6</v>
      </c>
      <c r="J193" s="560"/>
      <c r="K193" s="560"/>
    </row>
    <row r="194" spans="1:11" ht="18" thickBot="1">
      <c r="A194" s="775"/>
      <c r="B194" s="776"/>
      <c r="C194" s="778"/>
      <c r="D194" s="512"/>
      <c r="E194" s="595"/>
      <c r="F194" s="764"/>
      <c r="G194" s="514"/>
      <c r="H194" s="593"/>
      <c r="I194" s="771"/>
      <c r="J194" s="560"/>
      <c r="K194" s="560"/>
    </row>
    <row r="195" spans="1:11">
      <c r="A195" s="767" t="s">
        <v>354</v>
      </c>
      <c r="B195" s="201">
        <v>1</v>
      </c>
      <c r="C195" s="202">
        <f>국내2!D574</f>
        <v>40502</v>
      </c>
      <c r="D195" s="202"/>
      <c r="E195" s="202"/>
      <c r="F195" s="203">
        <v>176715</v>
      </c>
      <c r="G195" s="555"/>
      <c r="H195" s="555"/>
      <c r="I195" s="204">
        <f t="shared" ref="I195:I206" si="22">C195+F195</f>
        <v>217217</v>
      </c>
      <c r="J195" s="561"/>
      <c r="K195" s="561"/>
    </row>
    <row r="196" spans="1:11">
      <c r="A196" s="768"/>
      <c r="B196" s="205">
        <v>2</v>
      </c>
      <c r="C196" s="206">
        <f>국내2!E574</f>
        <v>39029</v>
      </c>
      <c r="D196" s="206"/>
      <c r="E196" s="206"/>
      <c r="F196" s="207">
        <v>138247</v>
      </c>
      <c r="G196" s="556"/>
      <c r="H196" s="556"/>
      <c r="I196" s="208">
        <f t="shared" si="22"/>
        <v>177276</v>
      </c>
      <c r="J196" s="561"/>
      <c r="K196" s="561"/>
    </row>
    <row r="197" spans="1:11">
      <c r="A197" s="768"/>
      <c r="B197" s="205">
        <v>3</v>
      </c>
      <c r="C197" s="206">
        <f>국내2!F574</f>
        <v>46100</v>
      </c>
      <c r="D197" s="206"/>
      <c r="E197" s="206"/>
      <c r="F197" s="207">
        <v>178700</v>
      </c>
      <c r="G197" s="556"/>
      <c r="H197" s="556"/>
      <c r="I197" s="208">
        <f t="shared" si="22"/>
        <v>224800</v>
      </c>
      <c r="J197" s="561"/>
      <c r="K197" s="561"/>
    </row>
    <row r="198" spans="1:11">
      <c r="A198" s="768"/>
      <c r="B198" s="205">
        <v>4</v>
      </c>
      <c r="C198" s="206">
        <f>국내2!G574</f>
        <v>42502</v>
      </c>
      <c r="D198" s="206"/>
      <c r="E198" s="206"/>
      <c r="F198" s="207">
        <v>163095</v>
      </c>
      <c r="G198" s="556"/>
      <c r="H198" s="556"/>
      <c r="I198" s="208">
        <f t="shared" si="22"/>
        <v>205597</v>
      </c>
      <c r="J198" s="561"/>
      <c r="K198" s="561"/>
    </row>
    <row r="199" spans="1:11">
      <c r="A199" s="768"/>
      <c r="B199" s="205">
        <v>5</v>
      </c>
      <c r="C199" s="206">
        <f>국내2!H574</f>
        <v>38012</v>
      </c>
      <c r="D199" s="206"/>
      <c r="E199" s="206"/>
      <c r="F199" s="207">
        <v>160830</v>
      </c>
      <c r="G199" s="556"/>
      <c r="H199" s="556"/>
      <c r="I199" s="208">
        <f t="shared" si="22"/>
        <v>198842</v>
      </c>
      <c r="J199" s="561"/>
      <c r="K199" s="561"/>
    </row>
    <row r="200" spans="1:11">
      <c r="A200" s="768"/>
      <c r="B200" s="205">
        <v>6</v>
      </c>
      <c r="C200" s="206">
        <f>국내2!I574</f>
        <v>42200</v>
      </c>
      <c r="D200" s="206"/>
      <c r="E200" s="206"/>
      <c r="F200" s="207">
        <v>176103</v>
      </c>
      <c r="G200" s="556"/>
      <c r="H200" s="556"/>
      <c r="I200" s="208">
        <f t="shared" si="22"/>
        <v>218303</v>
      </c>
      <c r="J200" s="561"/>
      <c r="K200" s="561"/>
    </row>
    <row r="201" spans="1:11">
      <c r="A201" s="768"/>
      <c r="B201" s="205">
        <v>7</v>
      </c>
      <c r="C201" s="206">
        <f>국내2!J574</f>
        <v>40706</v>
      </c>
      <c r="D201" s="206"/>
      <c r="E201" s="206"/>
      <c r="F201" s="207">
        <v>166515</v>
      </c>
      <c r="G201" s="556"/>
      <c r="H201" s="556"/>
      <c r="I201" s="208">
        <f t="shared" si="22"/>
        <v>207221</v>
      </c>
      <c r="J201" s="561"/>
      <c r="K201" s="561"/>
    </row>
    <row r="202" spans="1:11">
      <c r="A202" s="768"/>
      <c r="B202" s="205">
        <v>8</v>
      </c>
      <c r="C202" s="206">
        <f>국내2!K574</f>
        <v>36611</v>
      </c>
      <c r="D202" s="206"/>
      <c r="E202" s="206"/>
      <c r="F202" s="207">
        <v>155337</v>
      </c>
      <c r="G202" s="556"/>
      <c r="H202" s="556"/>
      <c r="I202" s="208">
        <f t="shared" si="22"/>
        <v>191948</v>
      </c>
      <c r="J202" s="561"/>
      <c r="K202" s="561"/>
    </row>
    <row r="203" spans="1:11">
      <c r="A203" s="768"/>
      <c r="B203" s="205">
        <v>9</v>
      </c>
      <c r="C203" s="206">
        <f>국내2!L574</f>
        <v>41952</v>
      </c>
      <c r="D203" s="206"/>
      <c r="E203" s="206"/>
      <c r="F203" s="207">
        <v>171116</v>
      </c>
      <c r="G203" s="556"/>
      <c r="H203" s="556"/>
      <c r="I203" s="208">
        <f t="shared" si="22"/>
        <v>213068</v>
      </c>
      <c r="J203" s="561"/>
      <c r="K203" s="561"/>
    </row>
    <row r="204" spans="1:11">
      <c r="A204" s="768"/>
      <c r="B204" s="205">
        <v>10</v>
      </c>
      <c r="C204" s="206">
        <f>국내2!M574</f>
        <v>41302</v>
      </c>
      <c r="D204" s="206"/>
      <c r="E204" s="206"/>
      <c r="F204" s="207">
        <v>171083</v>
      </c>
      <c r="G204" s="556"/>
      <c r="H204" s="556"/>
      <c r="I204" s="208">
        <f t="shared" si="22"/>
        <v>212385</v>
      </c>
      <c r="J204" s="561"/>
      <c r="K204" s="561"/>
    </row>
    <row r="205" spans="1:11">
      <c r="A205" s="768"/>
      <c r="B205" s="205">
        <v>11</v>
      </c>
      <c r="C205" s="206">
        <f>국내2!N574</f>
        <v>39031</v>
      </c>
      <c r="D205" s="206"/>
      <c r="E205" s="206"/>
      <c r="F205" s="207">
        <v>203605</v>
      </c>
      <c r="G205" s="556"/>
      <c r="H205" s="556"/>
      <c r="I205" s="208">
        <f t="shared" si="22"/>
        <v>242636</v>
      </c>
      <c r="J205" s="561"/>
      <c r="K205" s="561"/>
    </row>
    <row r="206" spans="1:11" ht="18" thickBot="1">
      <c r="A206" s="769"/>
      <c r="B206" s="209">
        <v>12</v>
      </c>
      <c r="C206" s="210">
        <f>국내2!O574</f>
        <v>45056</v>
      </c>
      <c r="D206" s="210"/>
      <c r="E206" s="210"/>
      <c r="F206" s="211">
        <v>184962</v>
      </c>
      <c r="G206" s="557"/>
      <c r="H206" s="557"/>
      <c r="I206" s="212">
        <f t="shared" si="22"/>
        <v>230018</v>
      </c>
      <c r="J206" s="561"/>
      <c r="K206" s="561"/>
    </row>
    <row r="207" spans="1:11" ht="18.600000000000001" thickTop="1" thickBot="1">
      <c r="A207" s="509"/>
      <c r="B207" s="213" t="s">
        <v>6</v>
      </c>
      <c r="C207" s="214">
        <f>SUM(C195:C206)</f>
        <v>493003</v>
      </c>
      <c r="D207" s="214"/>
      <c r="E207" s="214"/>
      <c r="F207" s="215">
        <f>SUM(F195:F206)</f>
        <v>2046308</v>
      </c>
      <c r="G207" s="559"/>
      <c r="H207" s="559"/>
      <c r="I207" s="216">
        <f>SUM(I195:I206)</f>
        <v>2539311</v>
      </c>
      <c r="J207" s="561"/>
      <c r="K207" s="561"/>
    </row>
    <row r="208" spans="1:11" ht="18" thickBot="1"/>
    <row r="209" spans="1:11">
      <c r="A209" s="773"/>
      <c r="B209" s="774"/>
      <c r="C209" s="777" t="s">
        <v>5</v>
      </c>
      <c r="D209" s="511"/>
      <c r="E209" s="594"/>
      <c r="F209" s="763" t="s">
        <v>105</v>
      </c>
      <c r="G209" s="513"/>
      <c r="H209" s="592"/>
      <c r="I209" s="770" t="s">
        <v>6</v>
      </c>
      <c r="J209" s="560"/>
      <c r="K209" s="560"/>
    </row>
    <row r="210" spans="1:11" ht="18" thickBot="1">
      <c r="A210" s="775"/>
      <c r="B210" s="776"/>
      <c r="C210" s="778"/>
      <c r="D210" s="512"/>
      <c r="E210" s="595"/>
      <c r="F210" s="764"/>
      <c r="G210" s="514"/>
      <c r="H210" s="593"/>
      <c r="I210" s="771"/>
      <c r="J210" s="560"/>
      <c r="K210" s="560"/>
    </row>
    <row r="211" spans="1:11">
      <c r="A211" s="767" t="s">
        <v>42</v>
      </c>
      <c r="B211" s="201">
        <v>1</v>
      </c>
      <c r="C211" s="202">
        <f>국내2!D608</f>
        <v>34007</v>
      </c>
      <c r="D211" s="202"/>
      <c r="E211" s="202"/>
      <c r="F211" s="203">
        <v>129231</v>
      </c>
      <c r="G211" s="555"/>
      <c r="H211" s="555"/>
      <c r="I211" s="204">
        <f t="shared" ref="I211:I222" si="23">C211+F211</f>
        <v>163238</v>
      </c>
      <c r="J211" s="561"/>
      <c r="K211" s="561"/>
    </row>
    <row r="212" spans="1:11">
      <c r="A212" s="768"/>
      <c r="B212" s="205">
        <v>2</v>
      </c>
      <c r="C212" s="206">
        <f>국내2!E608</f>
        <v>33209</v>
      </c>
      <c r="D212" s="206"/>
      <c r="E212" s="206"/>
      <c r="F212" s="207">
        <v>105602</v>
      </c>
      <c r="G212" s="556"/>
      <c r="H212" s="556"/>
      <c r="I212" s="208">
        <f t="shared" si="23"/>
        <v>138811</v>
      </c>
      <c r="J212" s="561"/>
      <c r="K212" s="561"/>
    </row>
    <row r="213" spans="1:11">
      <c r="A213" s="768"/>
      <c r="B213" s="205">
        <v>3</v>
      </c>
      <c r="C213" s="206">
        <f>국내2!F608</f>
        <v>38015</v>
      </c>
      <c r="D213" s="206"/>
      <c r="E213" s="206"/>
      <c r="F213" s="207">
        <v>135096</v>
      </c>
      <c r="G213" s="556"/>
      <c r="H213" s="556"/>
      <c r="I213" s="208">
        <f t="shared" si="23"/>
        <v>173111</v>
      </c>
      <c r="J213" s="561"/>
      <c r="K213" s="561"/>
    </row>
    <row r="214" spans="1:11">
      <c r="A214" s="768"/>
      <c r="B214" s="205">
        <v>4</v>
      </c>
      <c r="C214" s="206">
        <f>국내2!G608</f>
        <v>38513</v>
      </c>
      <c r="D214" s="206"/>
      <c r="E214" s="206"/>
      <c r="F214" s="207">
        <v>136067</v>
      </c>
      <c r="G214" s="556"/>
      <c r="H214" s="556"/>
      <c r="I214" s="208">
        <f t="shared" si="23"/>
        <v>174580</v>
      </c>
      <c r="J214" s="561"/>
      <c r="K214" s="561"/>
    </row>
    <row r="215" spans="1:11">
      <c r="A215" s="768"/>
      <c r="B215" s="205">
        <v>5</v>
      </c>
      <c r="C215" s="206">
        <f>국내2!H608</f>
        <v>40014</v>
      </c>
      <c r="D215" s="206"/>
      <c r="E215" s="206"/>
      <c r="F215" s="207">
        <v>122116</v>
      </c>
      <c r="G215" s="556"/>
      <c r="H215" s="556"/>
      <c r="I215" s="208">
        <f t="shared" si="23"/>
        <v>162130</v>
      </c>
      <c r="J215" s="561"/>
      <c r="K215" s="561"/>
    </row>
    <row r="216" spans="1:11">
      <c r="A216" s="768"/>
      <c r="B216" s="205">
        <v>6</v>
      </c>
      <c r="C216" s="206">
        <f>국내2!I608</f>
        <v>44431</v>
      </c>
      <c r="D216" s="206"/>
      <c r="E216" s="206"/>
      <c r="F216" s="207">
        <v>133960</v>
      </c>
      <c r="G216" s="556"/>
      <c r="H216" s="556"/>
      <c r="I216" s="208">
        <f t="shared" si="23"/>
        <v>178391</v>
      </c>
      <c r="J216" s="561"/>
      <c r="K216" s="561"/>
    </row>
    <row r="217" spans="1:11">
      <c r="A217" s="768"/>
      <c r="B217" s="205">
        <v>7</v>
      </c>
      <c r="C217" s="206">
        <f>국내2!J608</f>
        <v>45100</v>
      </c>
      <c r="D217" s="206"/>
      <c r="E217" s="206"/>
      <c r="F217" s="207">
        <v>134290</v>
      </c>
      <c r="G217" s="556"/>
      <c r="H217" s="556"/>
      <c r="I217" s="208">
        <f t="shared" si="23"/>
        <v>179390</v>
      </c>
      <c r="J217" s="561"/>
      <c r="K217" s="561"/>
    </row>
    <row r="218" spans="1:11">
      <c r="A218" s="768"/>
      <c r="B218" s="205">
        <v>8</v>
      </c>
      <c r="C218" s="206">
        <f>국내2!K608</f>
        <v>38620</v>
      </c>
      <c r="D218" s="206"/>
      <c r="E218" s="206"/>
      <c r="F218" s="207">
        <v>111906</v>
      </c>
      <c r="G218" s="556"/>
      <c r="H218" s="556"/>
      <c r="I218" s="208">
        <f t="shared" si="23"/>
        <v>150526</v>
      </c>
      <c r="J218" s="561"/>
      <c r="K218" s="561"/>
    </row>
    <row r="219" spans="1:11">
      <c r="A219" s="768"/>
      <c r="B219" s="205">
        <v>9</v>
      </c>
      <c r="C219" s="206">
        <f>국내2!L608</f>
        <v>40191</v>
      </c>
      <c r="D219" s="206"/>
      <c r="E219" s="206"/>
      <c r="F219" s="207">
        <v>142863</v>
      </c>
      <c r="G219" s="556"/>
      <c r="H219" s="556"/>
      <c r="I219" s="208">
        <f t="shared" si="23"/>
        <v>183054</v>
      </c>
      <c r="J219" s="561"/>
      <c r="K219" s="561"/>
    </row>
    <row r="220" spans="1:11">
      <c r="A220" s="768"/>
      <c r="B220" s="205">
        <v>10</v>
      </c>
      <c r="C220" s="206">
        <f>국내2!M608</f>
        <v>43147</v>
      </c>
      <c r="D220" s="206"/>
      <c r="E220" s="206"/>
      <c r="F220" s="207">
        <v>148520</v>
      </c>
      <c r="G220" s="556"/>
      <c r="H220" s="556"/>
      <c r="I220" s="208">
        <f t="shared" si="23"/>
        <v>191667</v>
      </c>
      <c r="J220" s="561"/>
      <c r="K220" s="561"/>
    </row>
    <row r="221" spans="1:11">
      <c r="A221" s="768"/>
      <c r="B221" s="205">
        <v>11</v>
      </c>
      <c r="C221" s="206">
        <f>국내2!N608</f>
        <v>44049</v>
      </c>
      <c r="D221" s="206"/>
      <c r="E221" s="206"/>
      <c r="F221" s="207">
        <v>178401</v>
      </c>
      <c r="G221" s="556"/>
      <c r="H221" s="556"/>
      <c r="I221" s="208">
        <f t="shared" si="23"/>
        <v>222450</v>
      </c>
      <c r="J221" s="561"/>
      <c r="K221" s="561"/>
    </row>
    <row r="222" spans="1:11" ht="18" thickBot="1">
      <c r="A222" s="769"/>
      <c r="B222" s="209">
        <v>12</v>
      </c>
      <c r="C222" s="210">
        <f>국내2!O608</f>
        <v>45216</v>
      </c>
      <c r="D222" s="210"/>
      <c r="E222" s="210"/>
      <c r="F222" s="211">
        <v>168484</v>
      </c>
      <c r="G222" s="557"/>
      <c r="H222" s="557"/>
      <c r="I222" s="212">
        <f t="shared" si="23"/>
        <v>213700</v>
      </c>
      <c r="J222" s="561"/>
      <c r="K222" s="561"/>
    </row>
    <row r="223" spans="1:11" ht="18.600000000000001" thickTop="1" thickBot="1">
      <c r="A223" s="509"/>
      <c r="B223" s="213" t="s">
        <v>6</v>
      </c>
      <c r="C223" s="214">
        <f>SUM(C211:C222)</f>
        <v>484512</v>
      </c>
      <c r="D223" s="214"/>
      <c r="E223" s="214"/>
      <c r="F223" s="215">
        <f>SUM(F211:F222)</f>
        <v>1646536</v>
      </c>
      <c r="G223" s="559"/>
      <c r="H223" s="559"/>
      <c r="I223" s="216">
        <f>SUM(I211:I222)</f>
        <v>2131048</v>
      </c>
      <c r="J223" s="561"/>
      <c r="K223" s="561"/>
    </row>
    <row r="224" spans="1:11" ht="18" thickBot="1"/>
    <row r="225" spans="1:11">
      <c r="A225" s="773"/>
      <c r="B225" s="774"/>
      <c r="C225" s="777" t="s">
        <v>5</v>
      </c>
      <c r="D225" s="511"/>
      <c r="E225" s="594"/>
      <c r="F225" s="763" t="s">
        <v>105</v>
      </c>
      <c r="G225" s="513"/>
      <c r="H225" s="592"/>
      <c r="I225" s="770" t="s">
        <v>6</v>
      </c>
      <c r="J225" s="560"/>
      <c r="K225" s="560"/>
    </row>
    <row r="226" spans="1:11" ht="18" thickBot="1">
      <c r="A226" s="775"/>
      <c r="B226" s="776"/>
      <c r="C226" s="778"/>
      <c r="D226" s="512"/>
      <c r="E226" s="595"/>
      <c r="F226" s="764"/>
      <c r="G226" s="514"/>
      <c r="H226" s="593"/>
      <c r="I226" s="771"/>
      <c r="J226" s="560"/>
      <c r="K226" s="560"/>
    </row>
    <row r="227" spans="1:11">
      <c r="A227" s="767" t="s">
        <v>355</v>
      </c>
      <c r="B227" s="201">
        <v>1</v>
      </c>
      <c r="C227" s="202">
        <f>국내2!D639</f>
        <v>22056</v>
      </c>
      <c r="D227" s="202"/>
      <c r="E227" s="202"/>
      <c r="F227" s="203">
        <v>52841</v>
      </c>
      <c r="G227" s="555"/>
      <c r="H227" s="555"/>
      <c r="I227" s="204">
        <f t="shared" ref="I227:I238" si="24">C227+F227</f>
        <v>74897</v>
      </c>
      <c r="J227" s="561"/>
      <c r="K227" s="561"/>
    </row>
    <row r="228" spans="1:11">
      <c r="A228" s="768"/>
      <c r="B228" s="205">
        <v>2</v>
      </c>
      <c r="C228" s="206">
        <f>국내2!E639</f>
        <v>27307</v>
      </c>
      <c r="D228" s="206"/>
      <c r="E228" s="206"/>
      <c r="F228" s="207">
        <v>67813</v>
      </c>
      <c r="G228" s="556"/>
      <c r="H228" s="556"/>
      <c r="I228" s="208">
        <f t="shared" si="24"/>
        <v>95120</v>
      </c>
      <c r="J228" s="561"/>
      <c r="K228" s="561"/>
    </row>
    <row r="229" spans="1:11">
      <c r="A229" s="768"/>
      <c r="B229" s="205">
        <v>3</v>
      </c>
      <c r="C229" s="206">
        <f>국내2!F639</f>
        <v>30043</v>
      </c>
      <c r="D229" s="206"/>
      <c r="E229" s="206"/>
      <c r="F229" s="207">
        <v>81610</v>
      </c>
      <c r="G229" s="556"/>
      <c r="H229" s="556"/>
      <c r="I229" s="208">
        <f t="shared" si="24"/>
        <v>111653</v>
      </c>
      <c r="J229" s="561"/>
      <c r="K229" s="561"/>
    </row>
    <row r="230" spans="1:11">
      <c r="A230" s="768"/>
      <c r="B230" s="205">
        <v>4</v>
      </c>
      <c r="C230" s="206">
        <f>국내2!G639</f>
        <v>29010</v>
      </c>
      <c r="D230" s="206"/>
      <c r="E230" s="206"/>
      <c r="F230" s="207">
        <v>88481</v>
      </c>
      <c r="G230" s="556"/>
      <c r="H230" s="556"/>
      <c r="I230" s="208">
        <f t="shared" si="24"/>
        <v>117491</v>
      </c>
      <c r="J230" s="561"/>
      <c r="K230" s="561"/>
    </row>
    <row r="231" spans="1:11">
      <c r="A231" s="768"/>
      <c r="B231" s="205">
        <v>5</v>
      </c>
      <c r="C231" s="206">
        <f>국내2!H639</f>
        <v>38102</v>
      </c>
      <c r="D231" s="206"/>
      <c r="E231" s="206"/>
      <c r="F231" s="207">
        <v>83570</v>
      </c>
      <c r="G231" s="556"/>
      <c r="H231" s="556"/>
      <c r="I231" s="208">
        <f t="shared" si="24"/>
        <v>121672</v>
      </c>
      <c r="J231" s="561"/>
      <c r="K231" s="561"/>
    </row>
    <row r="232" spans="1:11">
      <c r="A232" s="768"/>
      <c r="B232" s="205">
        <v>6</v>
      </c>
      <c r="C232" s="206">
        <f>국내2!I639</f>
        <v>46006</v>
      </c>
      <c r="D232" s="206"/>
      <c r="E232" s="206"/>
      <c r="F232" s="207">
        <v>97411</v>
      </c>
      <c r="G232" s="556"/>
      <c r="H232" s="556"/>
      <c r="I232" s="208">
        <f t="shared" si="24"/>
        <v>143417</v>
      </c>
      <c r="J232" s="561"/>
      <c r="K232" s="561"/>
    </row>
    <row r="233" spans="1:11">
      <c r="A233" s="768"/>
      <c r="B233" s="205">
        <v>7</v>
      </c>
      <c r="C233" s="206">
        <f>국내2!J639</f>
        <v>34811</v>
      </c>
      <c r="D233" s="206"/>
      <c r="E233" s="206"/>
      <c r="F233" s="207">
        <v>91992</v>
      </c>
      <c r="G233" s="556"/>
      <c r="H233" s="556"/>
      <c r="I233" s="208">
        <f t="shared" si="24"/>
        <v>126803</v>
      </c>
      <c r="J233" s="561"/>
      <c r="K233" s="561"/>
    </row>
    <row r="234" spans="1:11">
      <c r="A234" s="768"/>
      <c r="B234" s="205">
        <v>8</v>
      </c>
      <c r="C234" s="206">
        <f>국내2!K639</f>
        <v>25184</v>
      </c>
      <c r="D234" s="206"/>
      <c r="E234" s="206"/>
      <c r="F234" s="207">
        <v>71896</v>
      </c>
      <c r="G234" s="556"/>
      <c r="H234" s="556"/>
      <c r="I234" s="208">
        <f t="shared" si="24"/>
        <v>97080</v>
      </c>
      <c r="J234" s="561"/>
      <c r="K234" s="561"/>
    </row>
    <row r="235" spans="1:11">
      <c r="A235" s="768"/>
      <c r="B235" s="205">
        <v>9</v>
      </c>
      <c r="C235" s="206">
        <f>국내2!L639</f>
        <v>39006</v>
      </c>
      <c r="D235" s="206"/>
      <c r="E235" s="206"/>
      <c r="F235" s="207">
        <v>124171</v>
      </c>
      <c r="G235" s="556"/>
      <c r="H235" s="556"/>
      <c r="I235" s="208">
        <f t="shared" si="24"/>
        <v>163177</v>
      </c>
      <c r="J235" s="561"/>
      <c r="K235" s="561"/>
    </row>
    <row r="236" spans="1:11">
      <c r="A236" s="768"/>
      <c r="B236" s="205">
        <v>10</v>
      </c>
      <c r="C236" s="206">
        <f>국내2!M639</f>
        <v>36017</v>
      </c>
      <c r="D236" s="206"/>
      <c r="E236" s="206"/>
      <c r="F236" s="207">
        <v>113559</v>
      </c>
      <c r="G236" s="556"/>
      <c r="H236" s="556"/>
      <c r="I236" s="208">
        <f t="shared" si="24"/>
        <v>149576</v>
      </c>
      <c r="J236" s="561"/>
      <c r="K236" s="561"/>
    </row>
    <row r="237" spans="1:11">
      <c r="A237" s="768"/>
      <c r="B237" s="205">
        <v>11</v>
      </c>
      <c r="C237" s="206">
        <f>국내2!N639</f>
        <v>38687</v>
      </c>
      <c r="D237" s="206"/>
      <c r="E237" s="206"/>
      <c r="F237" s="207">
        <v>127897</v>
      </c>
      <c r="G237" s="556"/>
      <c r="H237" s="556"/>
      <c r="I237" s="208">
        <f t="shared" si="24"/>
        <v>166584</v>
      </c>
      <c r="J237" s="561"/>
      <c r="K237" s="561"/>
    </row>
    <row r="238" spans="1:11" ht="18" thickBot="1">
      <c r="A238" s="769"/>
      <c r="B238" s="209">
        <v>12</v>
      </c>
      <c r="C238" s="210">
        <f>국내2!O639</f>
        <v>46523</v>
      </c>
      <c r="D238" s="210"/>
      <c r="E238" s="210"/>
      <c r="F238" s="211">
        <v>121030</v>
      </c>
      <c r="G238" s="557"/>
      <c r="H238" s="557"/>
      <c r="I238" s="212">
        <f t="shared" si="24"/>
        <v>167553</v>
      </c>
      <c r="J238" s="561"/>
      <c r="K238" s="561"/>
    </row>
    <row r="239" spans="1:11" ht="18.600000000000001" thickTop="1" thickBot="1">
      <c r="A239" s="509"/>
      <c r="B239" s="213" t="s">
        <v>6</v>
      </c>
      <c r="C239" s="214">
        <f>SUM(C227:C238)</f>
        <v>412752</v>
      </c>
      <c r="D239" s="214"/>
      <c r="E239" s="214"/>
      <c r="F239" s="215">
        <f>SUM(F227:F238)</f>
        <v>1122271</v>
      </c>
      <c r="G239" s="559"/>
      <c r="H239" s="559"/>
      <c r="I239" s="216">
        <f>SUM(I227:I238)</f>
        <v>1535023</v>
      </c>
      <c r="J239" s="561"/>
      <c r="K239" s="561"/>
    </row>
    <row r="240" spans="1:11" ht="18" thickBot="1"/>
    <row r="241" spans="1:11">
      <c r="A241" s="773"/>
      <c r="B241" s="774"/>
      <c r="C241" s="777" t="s">
        <v>5</v>
      </c>
      <c r="D241" s="511"/>
      <c r="E241" s="594"/>
      <c r="F241" s="763" t="s">
        <v>105</v>
      </c>
      <c r="G241" s="513"/>
      <c r="H241" s="592"/>
      <c r="I241" s="770" t="s">
        <v>6</v>
      </c>
      <c r="J241" s="560"/>
      <c r="K241" s="560"/>
    </row>
    <row r="242" spans="1:11" ht="18" thickBot="1">
      <c r="A242" s="775"/>
      <c r="B242" s="776"/>
      <c r="C242" s="778"/>
      <c r="D242" s="512"/>
      <c r="E242" s="595"/>
      <c r="F242" s="764"/>
      <c r="G242" s="514"/>
      <c r="H242" s="593"/>
      <c r="I242" s="771"/>
      <c r="J242" s="560"/>
      <c r="K242" s="560"/>
    </row>
    <row r="243" spans="1:11">
      <c r="A243" s="767" t="s">
        <v>356</v>
      </c>
      <c r="B243" s="201">
        <v>1</v>
      </c>
      <c r="C243" s="202">
        <f>국내2!D662</f>
        <v>22037</v>
      </c>
      <c r="D243" s="202"/>
      <c r="E243" s="202"/>
      <c r="F243" s="203">
        <v>98631</v>
      </c>
      <c r="G243" s="555"/>
      <c r="H243" s="555"/>
      <c r="I243" s="204">
        <f t="shared" ref="I243:I254" si="25">C243+F243</f>
        <v>120668</v>
      </c>
      <c r="J243" s="561"/>
      <c r="K243" s="561"/>
    </row>
    <row r="244" spans="1:11">
      <c r="A244" s="768"/>
      <c r="B244" s="205">
        <v>2</v>
      </c>
      <c r="C244" s="206">
        <f>국내2!E662</f>
        <v>24058</v>
      </c>
      <c r="D244" s="206"/>
      <c r="E244" s="206"/>
      <c r="F244" s="207">
        <v>74980</v>
      </c>
      <c r="G244" s="556"/>
      <c r="H244" s="556"/>
      <c r="I244" s="208">
        <f t="shared" si="25"/>
        <v>99038</v>
      </c>
      <c r="J244" s="561"/>
      <c r="K244" s="561"/>
    </row>
    <row r="245" spans="1:11">
      <c r="A245" s="768"/>
      <c r="B245" s="205">
        <v>3</v>
      </c>
      <c r="C245" s="206">
        <f>국내2!F662</f>
        <v>28316</v>
      </c>
      <c r="D245" s="206"/>
      <c r="E245" s="206"/>
      <c r="F245" s="207">
        <v>92859</v>
      </c>
      <c r="G245" s="556"/>
      <c r="H245" s="556"/>
      <c r="I245" s="208">
        <f t="shared" si="25"/>
        <v>121175</v>
      </c>
      <c r="J245" s="561"/>
      <c r="K245" s="561"/>
    </row>
    <row r="246" spans="1:11">
      <c r="A246" s="768"/>
      <c r="B246" s="205">
        <v>4</v>
      </c>
      <c r="C246" s="206">
        <f>국내2!G662</f>
        <v>27413</v>
      </c>
      <c r="D246" s="206"/>
      <c r="E246" s="206"/>
      <c r="F246" s="207">
        <v>98653</v>
      </c>
      <c r="G246" s="556"/>
      <c r="H246" s="556"/>
      <c r="I246" s="208">
        <f t="shared" si="25"/>
        <v>126066</v>
      </c>
      <c r="J246" s="561"/>
      <c r="K246" s="561"/>
    </row>
    <row r="247" spans="1:11">
      <c r="A247" s="768"/>
      <c r="B247" s="205">
        <v>5</v>
      </c>
      <c r="C247" s="206">
        <f>국내2!H662</f>
        <v>26452</v>
      </c>
      <c r="D247" s="206"/>
      <c r="E247" s="206"/>
      <c r="F247" s="207">
        <v>96384</v>
      </c>
      <c r="G247" s="556"/>
      <c r="H247" s="556"/>
      <c r="I247" s="208">
        <f t="shared" si="25"/>
        <v>122836</v>
      </c>
      <c r="J247" s="561"/>
      <c r="K247" s="561"/>
    </row>
    <row r="248" spans="1:11">
      <c r="A248" s="768"/>
      <c r="B248" s="205">
        <v>6</v>
      </c>
      <c r="C248" s="206">
        <f>국내2!I662</f>
        <v>25754</v>
      </c>
      <c r="D248" s="206"/>
      <c r="E248" s="206"/>
      <c r="F248" s="207">
        <v>90622</v>
      </c>
      <c r="G248" s="556"/>
      <c r="H248" s="556"/>
      <c r="I248" s="208">
        <f t="shared" si="25"/>
        <v>116376</v>
      </c>
      <c r="J248" s="561"/>
      <c r="K248" s="561"/>
    </row>
    <row r="249" spans="1:11">
      <c r="A249" s="768"/>
      <c r="B249" s="205">
        <v>7</v>
      </c>
      <c r="C249" s="206">
        <f>국내2!J662</f>
        <v>27514</v>
      </c>
      <c r="D249" s="206"/>
      <c r="E249" s="206"/>
      <c r="F249" s="207">
        <v>78033</v>
      </c>
      <c r="G249" s="556"/>
      <c r="H249" s="556"/>
      <c r="I249" s="208">
        <f t="shared" si="25"/>
        <v>105547</v>
      </c>
      <c r="J249" s="561"/>
      <c r="K249" s="561"/>
    </row>
    <row r="250" spans="1:11">
      <c r="A250" s="768"/>
      <c r="B250" s="205">
        <v>8</v>
      </c>
      <c r="C250" s="206">
        <f>국내2!K662</f>
        <v>23305</v>
      </c>
      <c r="D250" s="206"/>
      <c r="E250" s="206"/>
      <c r="F250" s="207">
        <v>69963</v>
      </c>
      <c r="G250" s="556"/>
      <c r="H250" s="556"/>
      <c r="I250" s="208">
        <f t="shared" si="25"/>
        <v>93268</v>
      </c>
      <c r="J250" s="561"/>
      <c r="K250" s="561"/>
    </row>
    <row r="251" spans="1:11">
      <c r="A251" s="768"/>
      <c r="B251" s="205">
        <v>9</v>
      </c>
      <c r="C251" s="206">
        <f>국내2!L662</f>
        <v>24322</v>
      </c>
      <c r="D251" s="206"/>
      <c r="E251" s="206"/>
      <c r="F251" s="207">
        <v>72363</v>
      </c>
      <c r="G251" s="556"/>
      <c r="H251" s="556"/>
      <c r="I251" s="208">
        <f t="shared" si="25"/>
        <v>96685</v>
      </c>
      <c r="J251" s="561"/>
      <c r="K251" s="561"/>
    </row>
    <row r="252" spans="1:11">
      <c r="A252" s="768"/>
      <c r="B252" s="205">
        <v>10</v>
      </c>
      <c r="C252" s="206">
        <f>국내2!M662</f>
        <v>33609</v>
      </c>
      <c r="D252" s="206"/>
      <c r="E252" s="206"/>
      <c r="F252" s="207">
        <v>105764</v>
      </c>
      <c r="G252" s="556"/>
      <c r="H252" s="556"/>
      <c r="I252" s="208">
        <f t="shared" si="25"/>
        <v>139373</v>
      </c>
      <c r="J252" s="561"/>
      <c r="K252" s="561"/>
    </row>
    <row r="253" spans="1:11">
      <c r="A253" s="768"/>
      <c r="B253" s="205">
        <v>11</v>
      </c>
      <c r="C253" s="206">
        <f>국내2!N662</f>
        <v>26145</v>
      </c>
      <c r="D253" s="206"/>
      <c r="E253" s="206"/>
      <c r="F253" s="207">
        <v>106649</v>
      </c>
      <c r="G253" s="556"/>
      <c r="H253" s="556"/>
      <c r="I253" s="208">
        <f t="shared" si="25"/>
        <v>132794</v>
      </c>
      <c r="J253" s="561"/>
      <c r="K253" s="561"/>
    </row>
    <row r="254" spans="1:11" ht="18" thickBot="1">
      <c r="A254" s="769"/>
      <c r="B254" s="209">
        <v>12</v>
      </c>
      <c r="C254" s="210">
        <f>국내2!O662</f>
        <v>27507</v>
      </c>
      <c r="D254" s="210"/>
      <c r="E254" s="210"/>
      <c r="F254" s="211">
        <v>99059</v>
      </c>
      <c r="G254" s="557"/>
      <c r="H254" s="557"/>
      <c r="I254" s="212">
        <f t="shared" si="25"/>
        <v>126566</v>
      </c>
      <c r="J254" s="561"/>
      <c r="K254" s="561"/>
    </row>
    <row r="255" spans="1:11" ht="18.600000000000001" thickTop="1" thickBot="1">
      <c r="A255" s="509"/>
      <c r="B255" s="213" t="s">
        <v>6</v>
      </c>
      <c r="C255" s="214">
        <f>SUM(C243:C254)</f>
        <v>316432</v>
      </c>
      <c r="D255" s="214"/>
      <c r="E255" s="214"/>
      <c r="F255" s="215">
        <f>SUM(F243:F254)</f>
        <v>1083960</v>
      </c>
      <c r="G255" s="559"/>
      <c r="H255" s="559"/>
      <c r="I255" s="216">
        <f>SUM(I243:I254)</f>
        <v>1400392</v>
      </c>
      <c r="J255" s="561"/>
      <c r="K255" s="561"/>
    </row>
    <row r="256" spans="1:11" ht="18" thickBot="1"/>
    <row r="257" spans="1:11">
      <c r="A257" s="773"/>
      <c r="B257" s="774"/>
      <c r="C257" s="777" t="s">
        <v>5</v>
      </c>
      <c r="D257" s="511"/>
      <c r="E257" s="594"/>
      <c r="F257" s="763" t="s">
        <v>105</v>
      </c>
      <c r="G257" s="513"/>
      <c r="H257" s="592"/>
      <c r="I257" s="770" t="s">
        <v>6</v>
      </c>
      <c r="J257" s="560"/>
      <c r="K257" s="560"/>
    </row>
    <row r="258" spans="1:11" ht="18" thickBot="1">
      <c r="A258" s="775"/>
      <c r="B258" s="776"/>
      <c r="C258" s="778"/>
      <c r="D258" s="512"/>
      <c r="E258" s="595"/>
      <c r="F258" s="764"/>
      <c r="G258" s="514"/>
      <c r="H258" s="593"/>
      <c r="I258" s="771"/>
      <c r="J258" s="560"/>
      <c r="K258" s="560"/>
    </row>
    <row r="259" spans="1:11">
      <c r="A259" s="767" t="s">
        <v>357</v>
      </c>
      <c r="B259" s="201">
        <v>1</v>
      </c>
      <c r="C259" s="202">
        <f>국내2!D682</f>
        <v>23010</v>
      </c>
      <c r="D259" s="202"/>
      <c r="E259" s="202"/>
      <c r="F259" s="203">
        <v>83662</v>
      </c>
      <c r="G259" s="555"/>
      <c r="H259" s="555"/>
      <c r="I259" s="204">
        <f t="shared" ref="I259:I270" si="26">C259+F259</f>
        <v>106672</v>
      </c>
      <c r="J259" s="561"/>
      <c r="K259" s="561"/>
    </row>
    <row r="260" spans="1:11">
      <c r="A260" s="768"/>
      <c r="B260" s="205">
        <v>2</v>
      </c>
      <c r="C260" s="206">
        <f>국내2!E682</f>
        <v>21411</v>
      </c>
      <c r="D260" s="206"/>
      <c r="E260" s="206"/>
      <c r="F260" s="207">
        <v>75528</v>
      </c>
      <c r="G260" s="556"/>
      <c r="H260" s="556"/>
      <c r="I260" s="208">
        <f t="shared" si="26"/>
        <v>96939</v>
      </c>
      <c r="J260" s="561"/>
      <c r="K260" s="561"/>
    </row>
    <row r="261" spans="1:11">
      <c r="A261" s="768"/>
      <c r="B261" s="205">
        <v>3</v>
      </c>
      <c r="C261" s="206">
        <f>국내2!F682</f>
        <v>23004</v>
      </c>
      <c r="D261" s="206"/>
      <c r="E261" s="206"/>
      <c r="F261" s="207">
        <v>102548</v>
      </c>
      <c r="G261" s="556"/>
      <c r="H261" s="556"/>
      <c r="I261" s="208">
        <f t="shared" si="26"/>
        <v>125552</v>
      </c>
      <c r="J261" s="561"/>
      <c r="K261" s="561"/>
    </row>
    <row r="262" spans="1:11">
      <c r="A262" s="768"/>
      <c r="B262" s="205">
        <v>4</v>
      </c>
      <c r="C262" s="206">
        <f>국내2!G682</f>
        <v>21202</v>
      </c>
      <c r="D262" s="206"/>
      <c r="E262" s="206"/>
      <c r="F262" s="207">
        <v>97355</v>
      </c>
      <c r="G262" s="556"/>
      <c r="H262" s="556"/>
      <c r="I262" s="208">
        <f t="shared" si="26"/>
        <v>118557</v>
      </c>
      <c r="J262" s="561"/>
      <c r="K262" s="561"/>
    </row>
    <row r="263" spans="1:11">
      <c r="A263" s="768"/>
      <c r="B263" s="205">
        <v>5</v>
      </c>
      <c r="C263" s="206">
        <f>국내2!H682</f>
        <v>23008</v>
      </c>
      <c r="D263" s="206"/>
      <c r="E263" s="206"/>
      <c r="F263" s="207">
        <v>94022</v>
      </c>
      <c r="G263" s="556"/>
      <c r="H263" s="556"/>
      <c r="I263" s="208">
        <f t="shared" si="26"/>
        <v>117030</v>
      </c>
      <c r="J263" s="561"/>
      <c r="K263" s="561"/>
    </row>
    <row r="264" spans="1:11">
      <c r="A264" s="768"/>
      <c r="B264" s="205">
        <v>6</v>
      </c>
      <c r="C264" s="206">
        <f>국내2!I682</f>
        <v>22010</v>
      </c>
      <c r="D264" s="206"/>
      <c r="E264" s="206"/>
      <c r="F264" s="207">
        <v>90430</v>
      </c>
      <c r="G264" s="556"/>
      <c r="H264" s="556"/>
      <c r="I264" s="208">
        <f t="shared" si="26"/>
        <v>112440</v>
      </c>
      <c r="J264" s="561"/>
      <c r="K264" s="561"/>
    </row>
    <row r="265" spans="1:11">
      <c r="A265" s="768"/>
      <c r="B265" s="205">
        <v>7</v>
      </c>
      <c r="C265" s="206">
        <f>국내2!J682</f>
        <v>20010</v>
      </c>
      <c r="D265" s="206"/>
      <c r="E265" s="206"/>
      <c r="F265" s="207">
        <v>55981</v>
      </c>
      <c r="G265" s="556"/>
      <c r="H265" s="556"/>
      <c r="I265" s="208">
        <f t="shared" si="26"/>
        <v>75991</v>
      </c>
      <c r="J265" s="561"/>
      <c r="K265" s="561"/>
    </row>
    <row r="266" spans="1:11">
      <c r="A266" s="768"/>
      <c r="B266" s="205">
        <v>8</v>
      </c>
      <c r="C266" s="206">
        <f>국내2!K682</f>
        <v>23006</v>
      </c>
      <c r="D266" s="206"/>
      <c r="E266" s="206"/>
      <c r="F266" s="207">
        <v>72970</v>
      </c>
      <c r="G266" s="556"/>
      <c r="H266" s="556"/>
      <c r="I266" s="208">
        <f t="shared" si="26"/>
        <v>95976</v>
      </c>
      <c r="J266" s="561"/>
      <c r="K266" s="561"/>
    </row>
    <row r="267" spans="1:11">
      <c r="A267" s="768"/>
      <c r="B267" s="205">
        <v>9</v>
      </c>
      <c r="C267" s="206">
        <f>국내2!L682</f>
        <v>20356</v>
      </c>
      <c r="D267" s="206"/>
      <c r="E267" s="206"/>
      <c r="F267" s="207">
        <v>89792</v>
      </c>
      <c r="G267" s="556"/>
      <c r="H267" s="556"/>
      <c r="I267" s="208">
        <f t="shared" si="26"/>
        <v>110148</v>
      </c>
      <c r="J267" s="561"/>
      <c r="K267" s="561"/>
    </row>
    <row r="268" spans="1:11">
      <c r="A268" s="768"/>
      <c r="B268" s="205">
        <v>10</v>
      </c>
      <c r="C268" s="206">
        <f>국내2!M682</f>
        <v>25104</v>
      </c>
      <c r="D268" s="206"/>
      <c r="E268" s="206"/>
      <c r="F268" s="207">
        <v>115730</v>
      </c>
      <c r="G268" s="556"/>
      <c r="H268" s="556"/>
      <c r="I268" s="208">
        <f t="shared" si="26"/>
        <v>140834</v>
      </c>
      <c r="J268" s="561"/>
      <c r="K268" s="561"/>
    </row>
    <row r="269" spans="1:11">
      <c r="A269" s="768"/>
      <c r="B269" s="205">
        <v>11</v>
      </c>
      <c r="C269" s="206">
        <f>국내2!N682</f>
        <v>25202</v>
      </c>
      <c r="D269" s="206"/>
      <c r="E269" s="206"/>
      <c r="F269" s="207">
        <v>112455</v>
      </c>
      <c r="G269" s="556"/>
      <c r="H269" s="556"/>
      <c r="I269" s="208">
        <f t="shared" si="26"/>
        <v>137657</v>
      </c>
      <c r="J269" s="561"/>
      <c r="K269" s="561"/>
    </row>
    <row r="270" spans="1:11" ht="18" thickBot="1">
      <c r="A270" s="769"/>
      <c r="B270" s="209">
        <v>12</v>
      </c>
      <c r="C270" s="210">
        <f>국내2!O682</f>
        <v>25007</v>
      </c>
      <c r="D270" s="210"/>
      <c r="E270" s="210"/>
      <c r="F270" s="211">
        <v>97948</v>
      </c>
      <c r="G270" s="557"/>
      <c r="H270" s="557"/>
      <c r="I270" s="212">
        <f t="shared" si="26"/>
        <v>122955</v>
      </c>
      <c r="J270" s="561"/>
      <c r="K270" s="561"/>
    </row>
    <row r="271" spans="1:11" ht="18.600000000000001" thickTop="1" thickBot="1">
      <c r="A271" s="509"/>
      <c r="B271" s="213" t="s">
        <v>6</v>
      </c>
      <c r="C271" s="214">
        <f>SUM(C259:C270)</f>
        <v>272330</v>
      </c>
      <c r="D271" s="214"/>
      <c r="E271" s="214"/>
      <c r="F271" s="215">
        <f>SUM(F259:F270)</f>
        <v>1088421</v>
      </c>
      <c r="G271" s="559"/>
      <c r="H271" s="559"/>
      <c r="I271" s="216">
        <f>SUM(I259:I270)</f>
        <v>1360751</v>
      </c>
      <c r="J271" s="561"/>
      <c r="K271" s="561"/>
    </row>
    <row r="272" spans="1:11" ht="18" thickBot="1"/>
    <row r="273" spans="1:11">
      <c r="A273" s="773"/>
      <c r="B273" s="774"/>
      <c r="C273" s="777" t="s">
        <v>5</v>
      </c>
      <c r="D273" s="511"/>
      <c r="E273" s="594"/>
      <c r="F273" s="763" t="s">
        <v>105</v>
      </c>
      <c r="G273" s="513"/>
      <c r="H273" s="592"/>
      <c r="I273" s="770" t="s">
        <v>6</v>
      </c>
      <c r="J273" s="560"/>
      <c r="K273" s="560"/>
    </row>
    <row r="274" spans="1:11" ht="18" thickBot="1">
      <c r="A274" s="775"/>
      <c r="B274" s="776"/>
      <c r="C274" s="778"/>
      <c r="D274" s="512"/>
      <c r="E274" s="595"/>
      <c r="F274" s="764"/>
      <c r="G274" s="514"/>
      <c r="H274" s="593"/>
      <c r="I274" s="771"/>
      <c r="J274" s="560"/>
      <c r="K274" s="560"/>
    </row>
    <row r="275" spans="1:11">
      <c r="A275" s="767" t="s">
        <v>358</v>
      </c>
      <c r="B275" s="201">
        <v>1</v>
      </c>
      <c r="C275" s="202">
        <f>국내2!D706</f>
        <v>17526</v>
      </c>
      <c r="D275" s="202"/>
      <c r="E275" s="202"/>
      <c r="F275" s="203">
        <v>79278</v>
      </c>
      <c r="G275" s="555"/>
      <c r="H275" s="555"/>
      <c r="I275" s="204">
        <f t="shared" ref="I275:I286" si="27">C275+F275</f>
        <v>96804</v>
      </c>
      <c r="J275" s="561"/>
      <c r="K275" s="561"/>
    </row>
    <row r="276" spans="1:11">
      <c r="A276" s="768"/>
      <c r="B276" s="205">
        <v>2</v>
      </c>
      <c r="C276" s="206">
        <f>국내2!E706</f>
        <v>21503</v>
      </c>
      <c r="D276" s="206"/>
      <c r="E276" s="206"/>
      <c r="F276" s="207">
        <v>86297</v>
      </c>
      <c r="G276" s="556"/>
      <c r="H276" s="556"/>
      <c r="I276" s="208">
        <f t="shared" si="27"/>
        <v>107800</v>
      </c>
      <c r="J276" s="561"/>
      <c r="K276" s="561"/>
    </row>
    <row r="277" spans="1:11">
      <c r="A277" s="768"/>
      <c r="B277" s="205">
        <v>3</v>
      </c>
      <c r="C277" s="206">
        <f>국내2!F706</f>
        <v>23375</v>
      </c>
      <c r="D277" s="206"/>
      <c r="E277" s="206"/>
      <c r="F277" s="207">
        <v>100886</v>
      </c>
      <c r="G277" s="556"/>
      <c r="H277" s="556"/>
      <c r="I277" s="208">
        <f t="shared" si="27"/>
        <v>124261</v>
      </c>
      <c r="J277" s="561"/>
      <c r="K277" s="561"/>
    </row>
    <row r="278" spans="1:11">
      <c r="A278" s="768"/>
      <c r="B278" s="205">
        <v>4</v>
      </c>
      <c r="C278" s="206">
        <f>국내2!G706</f>
        <v>21532</v>
      </c>
      <c r="D278" s="206"/>
      <c r="E278" s="206"/>
      <c r="F278" s="207">
        <v>84348</v>
      </c>
      <c r="G278" s="556"/>
      <c r="H278" s="556"/>
      <c r="I278" s="208">
        <f t="shared" si="27"/>
        <v>105880</v>
      </c>
      <c r="J278" s="561"/>
      <c r="K278" s="561"/>
    </row>
    <row r="279" spans="1:11">
      <c r="A279" s="768"/>
      <c r="B279" s="205">
        <v>5</v>
      </c>
      <c r="C279" s="206">
        <f>국내2!H706</f>
        <v>22255</v>
      </c>
      <c r="D279" s="206"/>
      <c r="E279" s="206"/>
      <c r="F279" s="207">
        <v>85998</v>
      </c>
      <c r="G279" s="556"/>
      <c r="H279" s="556"/>
      <c r="I279" s="208">
        <f t="shared" si="27"/>
        <v>108253</v>
      </c>
      <c r="J279" s="561"/>
      <c r="K279" s="561"/>
    </row>
    <row r="280" spans="1:11">
      <c r="A280" s="768"/>
      <c r="B280" s="205">
        <v>6</v>
      </c>
      <c r="C280" s="206">
        <f>국내2!I706</f>
        <v>24015</v>
      </c>
      <c r="D280" s="206"/>
      <c r="E280" s="206"/>
      <c r="F280" s="207">
        <v>92089</v>
      </c>
      <c r="G280" s="556"/>
      <c r="H280" s="556"/>
      <c r="I280" s="208">
        <f t="shared" si="27"/>
        <v>116104</v>
      </c>
      <c r="J280" s="561"/>
      <c r="K280" s="561"/>
    </row>
    <row r="281" spans="1:11">
      <c r="A281" s="768"/>
      <c r="B281" s="205">
        <v>7</v>
      </c>
      <c r="C281" s="206">
        <f>국내2!J706</f>
        <v>21082</v>
      </c>
      <c r="D281" s="206"/>
      <c r="E281" s="206"/>
      <c r="F281" s="207">
        <v>52394</v>
      </c>
      <c r="G281" s="556"/>
      <c r="H281" s="556"/>
      <c r="I281" s="208">
        <f t="shared" si="27"/>
        <v>73476</v>
      </c>
      <c r="J281" s="561"/>
      <c r="K281" s="561"/>
    </row>
    <row r="282" spans="1:11">
      <c r="A282" s="768"/>
      <c r="B282" s="205">
        <v>8</v>
      </c>
      <c r="C282" s="206">
        <f>국내2!K706</f>
        <v>15202</v>
      </c>
      <c r="D282" s="206"/>
      <c r="E282" s="206"/>
      <c r="F282" s="207">
        <v>40002</v>
      </c>
      <c r="G282" s="556"/>
      <c r="H282" s="556"/>
      <c r="I282" s="208">
        <f t="shared" si="27"/>
        <v>55204</v>
      </c>
      <c r="J282" s="561"/>
      <c r="K282" s="561"/>
    </row>
    <row r="283" spans="1:11">
      <c r="A283" s="768"/>
      <c r="B283" s="205">
        <v>9</v>
      </c>
      <c r="C283" s="206">
        <f>국내2!L706</f>
        <v>27011</v>
      </c>
      <c r="D283" s="206"/>
      <c r="E283" s="206"/>
      <c r="F283" s="207">
        <v>84675</v>
      </c>
      <c r="G283" s="556"/>
      <c r="H283" s="556"/>
      <c r="I283" s="208">
        <f t="shared" si="27"/>
        <v>111686</v>
      </c>
      <c r="J283" s="561"/>
      <c r="K283" s="561"/>
    </row>
    <row r="284" spans="1:11">
      <c r="A284" s="768"/>
      <c r="B284" s="205">
        <v>10</v>
      </c>
      <c r="C284" s="206">
        <f>국내2!M706</f>
        <v>23238</v>
      </c>
      <c r="D284" s="206"/>
      <c r="E284" s="206"/>
      <c r="F284" s="207">
        <v>80965</v>
      </c>
      <c r="G284" s="556"/>
      <c r="H284" s="556"/>
      <c r="I284" s="208">
        <f t="shared" si="27"/>
        <v>104203</v>
      </c>
      <c r="J284" s="561"/>
      <c r="K284" s="561"/>
    </row>
    <row r="285" spans="1:11">
      <c r="A285" s="768"/>
      <c r="B285" s="205">
        <v>11</v>
      </c>
      <c r="C285" s="206">
        <f>국내2!N706</f>
        <v>26003</v>
      </c>
      <c r="D285" s="206"/>
      <c r="E285" s="206"/>
      <c r="F285" s="207">
        <v>106494</v>
      </c>
      <c r="G285" s="556"/>
      <c r="H285" s="556"/>
      <c r="I285" s="208">
        <f t="shared" si="27"/>
        <v>132497</v>
      </c>
      <c r="J285" s="561"/>
      <c r="K285" s="561"/>
    </row>
    <row r="286" spans="1:11" ht="18" thickBot="1">
      <c r="A286" s="769"/>
      <c r="B286" s="209">
        <v>12</v>
      </c>
      <c r="C286" s="210">
        <f>국내2!O706</f>
        <v>27855</v>
      </c>
      <c r="D286" s="210"/>
      <c r="E286" s="210"/>
      <c r="F286" s="211">
        <v>92253</v>
      </c>
      <c r="G286" s="557"/>
      <c r="H286" s="557"/>
      <c r="I286" s="212">
        <f t="shared" si="27"/>
        <v>120108</v>
      </c>
      <c r="J286" s="561"/>
      <c r="K286" s="561"/>
    </row>
    <row r="287" spans="1:11" ht="18.600000000000001" thickTop="1" thickBot="1">
      <c r="A287" s="509"/>
      <c r="B287" s="213" t="s">
        <v>6</v>
      </c>
      <c r="C287" s="214">
        <f>SUM(C275:C286)</f>
        <v>270597</v>
      </c>
      <c r="D287" s="214"/>
      <c r="E287" s="214"/>
      <c r="F287" s="215">
        <f>SUM(F275:F286)</f>
        <v>985679</v>
      </c>
      <c r="G287" s="559"/>
      <c r="H287" s="559"/>
      <c r="I287" s="216">
        <f>SUM(I275:I286)</f>
        <v>1256276</v>
      </c>
      <c r="J287" s="561"/>
      <c r="K287" s="561"/>
    </row>
    <row r="288" spans="1:11" ht="18" thickBot="1"/>
    <row r="289" spans="1:11">
      <c r="A289" s="773"/>
      <c r="B289" s="774"/>
      <c r="C289" s="777" t="s">
        <v>5</v>
      </c>
      <c r="D289" s="511"/>
      <c r="E289" s="594"/>
      <c r="F289" s="763" t="s">
        <v>105</v>
      </c>
      <c r="G289" s="513"/>
      <c r="H289" s="592"/>
      <c r="I289" s="770" t="s">
        <v>6</v>
      </c>
      <c r="J289" s="560"/>
      <c r="K289" s="560"/>
    </row>
    <row r="290" spans="1:11" ht="18" thickBot="1">
      <c r="A290" s="775"/>
      <c r="B290" s="776"/>
      <c r="C290" s="778"/>
      <c r="D290" s="512"/>
      <c r="E290" s="595"/>
      <c r="F290" s="764"/>
      <c r="G290" s="514"/>
      <c r="H290" s="593"/>
      <c r="I290" s="771"/>
      <c r="J290" s="560"/>
      <c r="K290" s="560"/>
    </row>
    <row r="291" spans="1:11">
      <c r="A291" s="767" t="s">
        <v>359</v>
      </c>
      <c r="B291" s="201">
        <v>1</v>
      </c>
      <c r="C291" s="202">
        <f>국내2!D730</f>
        <v>19014</v>
      </c>
      <c r="D291" s="202"/>
      <c r="E291" s="202"/>
      <c r="F291" s="203"/>
      <c r="G291" s="555"/>
      <c r="H291" s="555"/>
      <c r="I291" s="204">
        <f t="shared" ref="I291:I302" si="28">C291+F291</f>
        <v>19014</v>
      </c>
      <c r="J291" s="561"/>
      <c r="K291" s="561"/>
    </row>
    <row r="292" spans="1:11">
      <c r="A292" s="768"/>
      <c r="B292" s="205">
        <v>2</v>
      </c>
      <c r="C292" s="206">
        <f>국내2!E730</f>
        <v>17014</v>
      </c>
      <c r="D292" s="206"/>
      <c r="E292" s="206"/>
      <c r="F292" s="207"/>
      <c r="G292" s="556"/>
      <c r="H292" s="556"/>
      <c r="I292" s="208">
        <f t="shared" si="28"/>
        <v>17014</v>
      </c>
      <c r="J292" s="561"/>
      <c r="K292" s="561"/>
    </row>
    <row r="293" spans="1:11">
      <c r="A293" s="768"/>
      <c r="B293" s="205">
        <v>3</v>
      </c>
      <c r="C293" s="206">
        <f>국내2!F730</f>
        <v>22274</v>
      </c>
      <c r="D293" s="206"/>
      <c r="E293" s="206"/>
      <c r="F293" s="207"/>
      <c r="G293" s="556"/>
      <c r="H293" s="556"/>
      <c r="I293" s="208">
        <f t="shared" si="28"/>
        <v>22274</v>
      </c>
      <c r="J293" s="561"/>
      <c r="K293" s="561"/>
    </row>
    <row r="294" spans="1:11">
      <c r="A294" s="768"/>
      <c r="B294" s="205">
        <v>4</v>
      </c>
      <c r="C294" s="206">
        <f>국내2!G730</f>
        <v>23497</v>
      </c>
      <c r="D294" s="206"/>
      <c r="E294" s="206"/>
      <c r="F294" s="207"/>
      <c r="G294" s="556"/>
      <c r="H294" s="556"/>
      <c r="I294" s="208">
        <f t="shared" si="28"/>
        <v>23497</v>
      </c>
      <c r="J294" s="561"/>
      <c r="K294" s="561"/>
    </row>
    <row r="295" spans="1:11">
      <c r="A295" s="768"/>
      <c r="B295" s="205">
        <v>5</v>
      </c>
      <c r="C295" s="206">
        <f>국내2!H730</f>
        <v>22100</v>
      </c>
      <c r="D295" s="206"/>
      <c r="E295" s="206"/>
      <c r="F295" s="207"/>
      <c r="G295" s="556"/>
      <c r="H295" s="556"/>
      <c r="I295" s="208">
        <f t="shared" si="28"/>
        <v>22100</v>
      </c>
      <c r="J295" s="561"/>
      <c r="K295" s="561"/>
    </row>
    <row r="296" spans="1:11">
      <c r="A296" s="768"/>
      <c r="B296" s="205">
        <v>6</v>
      </c>
      <c r="C296" s="206">
        <f>국내2!I730</f>
        <v>23531</v>
      </c>
      <c r="D296" s="206"/>
      <c r="E296" s="206"/>
      <c r="F296" s="207"/>
      <c r="G296" s="556"/>
      <c r="H296" s="556"/>
      <c r="I296" s="208">
        <f t="shared" si="28"/>
        <v>23531</v>
      </c>
      <c r="J296" s="561"/>
      <c r="K296" s="561"/>
    </row>
    <row r="297" spans="1:11">
      <c r="A297" s="768"/>
      <c r="B297" s="205">
        <v>7</v>
      </c>
      <c r="C297" s="206">
        <f>국내2!J730</f>
        <v>24185</v>
      </c>
      <c r="D297" s="206"/>
      <c r="E297" s="206"/>
      <c r="F297" s="207"/>
      <c r="G297" s="556"/>
      <c r="H297" s="556"/>
      <c r="I297" s="208">
        <f t="shared" si="28"/>
        <v>24185</v>
      </c>
      <c r="J297" s="561"/>
      <c r="K297" s="561"/>
    </row>
    <row r="298" spans="1:11">
      <c r="A298" s="768"/>
      <c r="B298" s="205">
        <v>8</v>
      </c>
      <c r="C298" s="206">
        <f>국내2!K730</f>
        <v>21975</v>
      </c>
      <c r="D298" s="206"/>
      <c r="E298" s="206"/>
      <c r="F298" s="207"/>
      <c r="G298" s="556"/>
      <c r="H298" s="556"/>
      <c r="I298" s="208">
        <f t="shared" si="28"/>
        <v>21975</v>
      </c>
      <c r="J298" s="561"/>
      <c r="K298" s="561"/>
    </row>
    <row r="299" spans="1:11">
      <c r="A299" s="768"/>
      <c r="B299" s="205">
        <v>9</v>
      </c>
      <c r="C299" s="206">
        <f>국내2!L730</f>
        <v>18007</v>
      </c>
      <c r="D299" s="206"/>
      <c r="E299" s="206"/>
      <c r="F299" s="207"/>
      <c r="G299" s="556"/>
      <c r="H299" s="556"/>
      <c r="I299" s="208">
        <f t="shared" si="28"/>
        <v>18007</v>
      </c>
      <c r="J299" s="561"/>
      <c r="K299" s="561"/>
    </row>
    <row r="300" spans="1:11">
      <c r="A300" s="768"/>
      <c r="B300" s="205">
        <v>10</v>
      </c>
      <c r="C300" s="206">
        <f>국내2!M730</f>
        <v>22012</v>
      </c>
      <c r="D300" s="206"/>
      <c r="E300" s="206"/>
      <c r="F300" s="207"/>
      <c r="G300" s="556"/>
      <c r="H300" s="556"/>
      <c r="I300" s="208">
        <f t="shared" si="28"/>
        <v>22012</v>
      </c>
      <c r="J300" s="561"/>
      <c r="K300" s="561"/>
    </row>
    <row r="301" spans="1:11">
      <c r="A301" s="768"/>
      <c r="B301" s="205">
        <v>11</v>
      </c>
      <c r="C301" s="206">
        <f>국내2!N730</f>
        <v>25854</v>
      </c>
      <c r="D301" s="206"/>
      <c r="E301" s="206"/>
      <c r="F301" s="207"/>
      <c r="G301" s="556"/>
      <c r="H301" s="556"/>
      <c r="I301" s="208">
        <f t="shared" si="28"/>
        <v>25854</v>
      </c>
      <c r="J301" s="561"/>
      <c r="K301" s="561"/>
    </row>
    <row r="302" spans="1:11" ht="18" thickBot="1">
      <c r="A302" s="769"/>
      <c r="B302" s="209">
        <v>12</v>
      </c>
      <c r="C302" s="210">
        <f>국내2!O730</f>
        <v>27045</v>
      </c>
      <c r="D302" s="210"/>
      <c r="E302" s="210"/>
      <c r="F302" s="211"/>
      <c r="G302" s="557"/>
      <c r="H302" s="557"/>
      <c r="I302" s="212">
        <f t="shared" si="28"/>
        <v>27045</v>
      </c>
      <c r="J302" s="561"/>
      <c r="K302" s="561"/>
    </row>
    <row r="303" spans="1:11" ht="18.600000000000001" thickTop="1" thickBot="1">
      <c r="A303" s="509"/>
      <c r="B303" s="213" t="s">
        <v>6</v>
      </c>
      <c r="C303" s="214">
        <f>SUM(C291:C302)</f>
        <v>266508</v>
      </c>
      <c r="D303" s="214"/>
      <c r="E303" s="214"/>
      <c r="F303" s="215">
        <f>SUM(F291:F302)</f>
        <v>0</v>
      </c>
      <c r="G303" s="559"/>
      <c r="H303" s="559"/>
      <c r="I303" s="216">
        <f>SUM(I291:I302)</f>
        <v>266508</v>
      </c>
      <c r="J303" s="561"/>
      <c r="K303" s="561"/>
    </row>
  </sheetData>
  <mergeCells count="95">
    <mergeCell ref="I113:I114"/>
    <mergeCell ref="C65:C66"/>
    <mergeCell ref="F33:F34"/>
    <mergeCell ref="A113:B114"/>
    <mergeCell ref="C113:C114"/>
    <mergeCell ref="F113:F114"/>
    <mergeCell ref="I33:I34"/>
    <mergeCell ref="C49:C50"/>
    <mergeCell ref="F49:F50"/>
    <mergeCell ref="I49:I50"/>
    <mergeCell ref="F97:F98"/>
    <mergeCell ref="I97:I98"/>
    <mergeCell ref="C33:C34"/>
    <mergeCell ref="C81:C82"/>
    <mergeCell ref="A1:B2"/>
    <mergeCell ref="A17:B18"/>
    <mergeCell ref="A131:A142"/>
    <mergeCell ref="A19:A31"/>
    <mergeCell ref="A65:B66"/>
    <mergeCell ref="A97:B98"/>
    <mergeCell ref="A49:B50"/>
    <mergeCell ref="A83:A95"/>
    <mergeCell ref="A33:B34"/>
    <mergeCell ref="A81:B82"/>
    <mergeCell ref="A51:A63"/>
    <mergeCell ref="A67:A79"/>
    <mergeCell ref="A161:B162"/>
    <mergeCell ref="C161:C162"/>
    <mergeCell ref="F161:F162"/>
    <mergeCell ref="I161:I162"/>
    <mergeCell ref="A147:A158"/>
    <mergeCell ref="A145:B146"/>
    <mergeCell ref="C145:C146"/>
    <mergeCell ref="C97:C98"/>
    <mergeCell ref="I289:I290"/>
    <mergeCell ref="I241:I242"/>
    <mergeCell ref="I257:I258"/>
    <mergeCell ref="I273:I274"/>
    <mergeCell ref="C289:C290"/>
    <mergeCell ref="F289:F290"/>
    <mergeCell ref="I145:I146"/>
    <mergeCell ref="F145:F146"/>
    <mergeCell ref="I225:I226"/>
    <mergeCell ref="I209:I210"/>
    <mergeCell ref="F177:F178"/>
    <mergeCell ref="I177:I178"/>
    <mergeCell ref="F193:F194"/>
    <mergeCell ref="A291:A302"/>
    <mergeCell ref="A275:A286"/>
    <mergeCell ref="A241:B242"/>
    <mergeCell ref="C241:C242"/>
    <mergeCell ref="F241:F242"/>
    <mergeCell ref="A243:A254"/>
    <mergeCell ref="A257:B258"/>
    <mergeCell ref="C257:C258"/>
    <mergeCell ref="F257:F258"/>
    <mergeCell ref="A259:A270"/>
    <mergeCell ref="A273:B274"/>
    <mergeCell ref="C273:C274"/>
    <mergeCell ref="F273:F274"/>
    <mergeCell ref="A289:B290"/>
    <mergeCell ref="A227:A238"/>
    <mergeCell ref="A195:A206"/>
    <mergeCell ref="A209:B210"/>
    <mergeCell ref="C209:C210"/>
    <mergeCell ref="A177:B178"/>
    <mergeCell ref="C177:C178"/>
    <mergeCell ref="A179:A190"/>
    <mergeCell ref="A193:B194"/>
    <mergeCell ref="C193:C194"/>
    <mergeCell ref="A211:A222"/>
    <mergeCell ref="A225:B226"/>
    <mergeCell ref="C225:C226"/>
    <mergeCell ref="F225:F226"/>
    <mergeCell ref="A3:A15"/>
    <mergeCell ref="A163:A174"/>
    <mergeCell ref="F81:F82"/>
    <mergeCell ref="I81:I82"/>
    <mergeCell ref="A35:A47"/>
    <mergeCell ref="F65:F66"/>
    <mergeCell ref="A129:B130"/>
    <mergeCell ref="C129:C130"/>
    <mergeCell ref="F129:F130"/>
    <mergeCell ref="I129:I130"/>
    <mergeCell ref="A99:A111"/>
    <mergeCell ref="A115:A127"/>
    <mergeCell ref="I193:I194"/>
    <mergeCell ref="F209:F210"/>
    <mergeCell ref="I65:I66"/>
    <mergeCell ref="C1:E1"/>
    <mergeCell ref="F1:H1"/>
    <mergeCell ref="I1:K1"/>
    <mergeCell ref="C17:E17"/>
    <mergeCell ref="F17:H17"/>
    <mergeCell ref="I17:K17"/>
  </mergeCells>
  <phoneticPr fontId="2" type="noConversion"/>
  <pageMargins left="0.66" right="0.19685039370078741" top="0.39370078740157483" bottom="0.39370078740157483" header="0" footer="0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441A378E911E0B4A9EDF4A8F48842342" ma:contentTypeVersion="12" ma:contentTypeDescription="새 문서를 만듭니다." ma:contentTypeScope="" ma:versionID="3b65f789a98411bcda185d086105a79b">
  <xsd:schema xmlns:xsd="http://www.w3.org/2001/XMLSchema" xmlns:xs="http://www.w3.org/2001/XMLSchema" xmlns:p="http://schemas.microsoft.com/office/2006/metadata/properties" xmlns:ns2="0a04915d-1fd2-4c56-b8d0-52a0511ee5d7" xmlns:ns3="029816cc-12c8-44a6-ba18-dced640ca578" targetNamespace="http://schemas.microsoft.com/office/2006/metadata/properties" ma:root="true" ma:fieldsID="359fe65409d816c2b8aee765ec404e9b" ns2:_="" ns3:_="">
    <xsd:import namespace="0a04915d-1fd2-4c56-b8d0-52a0511ee5d7"/>
    <xsd:import namespace="029816cc-12c8-44a6-ba18-dced640ca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4915d-1fd2-4c56-b8d0-52a0511ee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816cc-12c8-44a6-ba18-dced640ca5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0BA7C-DD4E-419D-AE7F-2837EB328F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4B91E4-3DC2-43E8-9E9C-29EEA898AEC2}">
  <ds:schemaRefs>
    <ds:schemaRef ds:uri="029816cc-12c8-44a6-ba18-dced640ca578"/>
    <ds:schemaRef ds:uri="http://purl.org/dc/elements/1.1/"/>
    <ds:schemaRef ds:uri="http://schemas.microsoft.com/office/2006/metadata/properties"/>
    <ds:schemaRef ds:uri="0a04915d-1fd2-4c56-b8d0-52a0511ee5d7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2633A6-1946-464C-8D87-785F3D970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4915d-1fd2-4c56-b8d0-52a0511ee5d7"/>
    <ds:schemaRef ds:uri="029816cc-12c8-44a6-ba18-dced640ca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종합</vt:lpstr>
      <vt:lpstr>국내1</vt:lpstr>
      <vt:lpstr>국내2</vt:lpstr>
      <vt:lpstr>⊙ 월별</vt:lpstr>
      <vt:lpstr>'⊙ 월별'!Print_Area</vt:lpstr>
      <vt:lpstr>국내1!Print_Area</vt:lpstr>
      <vt:lpstr>국내2!Print_Area</vt:lpstr>
      <vt:lpstr>종합!Print_Area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류지형</cp:lastModifiedBy>
  <cp:lastPrinted>2023-02-01T10:06:20Z</cp:lastPrinted>
  <dcterms:created xsi:type="dcterms:W3CDTF">2011-08-30T23:40:38Z</dcterms:created>
  <dcterms:modified xsi:type="dcterms:W3CDTF">2023-03-02T05:43:58Z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2020-08-31T05:33:24Z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e0330b23-1559-4bf3-bc4e-5c3397c8a122</vt:lpwstr>
  </property>
  <property fmtid="{D5CDD505-2E9C-101B-9397-08002B2CF9AE}" pid="8" name="MSIP_Label_425c787f-039f-4287-bd0c-30008109edfc_ContentBits">
    <vt:lpwstr>0</vt:lpwstr>
  </property>
</Properties>
</file>