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20998\OneDrive - Hyundai Motor and Kia\바탕 화면\데이터\실적\1월\"/>
    </mc:Choice>
  </mc:AlternateContent>
  <xr:revisionPtr revIDLastSave="0" documentId="13_ncr:1_{30BDDC43-A4EC-41B4-9905-87A5EFCD4A3F}" xr6:coauthVersionLast="44" xr6:coauthVersionMax="44" xr10:uidLastSave="{00000000-0000-0000-0000-000000000000}"/>
  <bookViews>
    <workbookView xWindow="-23148" yWindow="-108" windowWidth="23256" windowHeight="12576" activeTab="2" xr2:uid="{00000000-000D-0000-FFFF-FFFF00000000}"/>
  </bookViews>
  <sheets>
    <sheet name="종합" sheetId="1" r:id="rId1"/>
    <sheet name="1월" sheetId="25" r:id="rId2"/>
    <sheet name=" 내수" sheetId="3" r:id="rId3"/>
    <sheet name="⊙카메라" sheetId="2" r:id="rId4"/>
  </sheets>
  <definedNames>
    <definedName name="_xlnm.Print_Area" localSheetId="2">' 내수'!$B$1:$P$464</definedName>
    <definedName name="_xlnm.Print_Area" localSheetId="3">⊙카메라!$A$33:$E$112</definedName>
    <definedName name="_xlnm.Print_Area" localSheetId="1">'1월'!$A$1:$L$61</definedName>
    <definedName name="_xlnm.Print_Area" localSheetId="0">종합!$B$1:$K$59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8" i="25" l="1"/>
  <c r="J49" i="25"/>
  <c r="J41" i="25"/>
  <c r="J61" i="25" s="1"/>
  <c r="J33" i="25" l="1"/>
  <c r="J32" i="25"/>
  <c r="J25" i="25"/>
  <c r="J22" i="25"/>
  <c r="J19" i="25"/>
  <c r="J10" i="25"/>
  <c r="E33" i="25"/>
  <c r="E32" i="25"/>
  <c r="E25" i="25"/>
  <c r="E22" i="25"/>
  <c r="E19" i="25"/>
  <c r="E10" i="25"/>
  <c r="D31" i="2" l="1"/>
  <c r="L61" i="25" l="1"/>
  <c r="L58" i="25"/>
  <c r="L49" i="25"/>
  <c r="L41" i="25"/>
  <c r="G50" i="25"/>
  <c r="L33" i="25"/>
  <c r="L36" i="25" s="1"/>
  <c r="L32" i="25"/>
  <c r="L25" i="25"/>
  <c r="L22" i="25"/>
  <c r="L19" i="25"/>
  <c r="L10" i="25"/>
  <c r="H33" i="25"/>
  <c r="H32" i="25"/>
  <c r="H25" i="25"/>
  <c r="H22" i="25"/>
  <c r="H19" i="25"/>
  <c r="H10" i="25"/>
  <c r="I33" i="25"/>
  <c r="I32" i="25"/>
  <c r="I25" i="25"/>
  <c r="I22" i="25"/>
  <c r="I19" i="25"/>
  <c r="I10" i="25"/>
  <c r="D30" i="2" l="1"/>
  <c r="D28" i="2"/>
  <c r="D24" i="2"/>
  <c r="D36" i="2" l="1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C48" i="2"/>
  <c r="D48" i="2"/>
  <c r="E52" i="2"/>
  <c r="E53" i="2"/>
  <c r="E64" i="2" s="1"/>
  <c r="E54" i="2"/>
  <c r="E55" i="2"/>
  <c r="E56" i="2"/>
  <c r="E57" i="2"/>
  <c r="E58" i="2"/>
  <c r="E59" i="2"/>
  <c r="E60" i="2"/>
  <c r="E61" i="2"/>
  <c r="E62" i="2"/>
  <c r="E63" i="2"/>
  <c r="C64" i="2"/>
  <c r="D64" i="2"/>
  <c r="E68" i="2"/>
  <c r="E69" i="2"/>
  <c r="E70" i="2"/>
  <c r="E71" i="2"/>
  <c r="E72" i="2"/>
  <c r="E73" i="2"/>
  <c r="E74" i="2"/>
  <c r="E75" i="2"/>
  <c r="E76" i="2"/>
  <c r="E77" i="2"/>
  <c r="E78" i="2"/>
  <c r="E79" i="2"/>
  <c r="C80" i="2"/>
  <c r="D80" i="2"/>
  <c r="E84" i="2"/>
  <c r="E96" i="2" s="1"/>
  <c r="E85" i="2"/>
  <c r="E86" i="2"/>
  <c r="E87" i="2"/>
  <c r="E88" i="2"/>
  <c r="E89" i="2"/>
  <c r="E90" i="2"/>
  <c r="E91" i="2"/>
  <c r="E92" i="2"/>
  <c r="E93" i="2"/>
  <c r="E94" i="2"/>
  <c r="E95" i="2"/>
  <c r="C96" i="2"/>
  <c r="D96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C112" i="2"/>
  <c r="D112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C128" i="2"/>
  <c r="C16" i="2"/>
  <c r="E15" i="2"/>
  <c r="E14" i="2"/>
  <c r="E13" i="2"/>
  <c r="E12" i="2"/>
  <c r="E11" i="2"/>
  <c r="E10" i="2"/>
  <c r="E9" i="2"/>
  <c r="E8" i="2"/>
  <c r="E7" i="2"/>
  <c r="E6" i="2"/>
  <c r="E5" i="2"/>
  <c r="E4" i="2"/>
  <c r="P20" i="3"/>
  <c r="P76" i="3"/>
  <c r="P75" i="3"/>
  <c r="O74" i="3"/>
  <c r="N74" i="3"/>
  <c r="M74" i="3"/>
  <c r="L74" i="3"/>
  <c r="K74" i="3"/>
  <c r="J74" i="3"/>
  <c r="I74" i="3"/>
  <c r="H74" i="3"/>
  <c r="G74" i="3"/>
  <c r="F74" i="3"/>
  <c r="E74" i="3"/>
  <c r="D74" i="3"/>
  <c r="P72" i="3"/>
  <c r="P71" i="3"/>
  <c r="O70" i="3"/>
  <c r="N70" i="3"/>
  <c r="M70" i="3"/>
  <c r="L70" i="3"/>
  <c r="K70" i="3"/>
  <c r="J70" i="3"/>
  <c r="I70" i="3"/>
  <c r="H70" i="3"/>
  <c r="G70" i="3"/>
  <c r="F70" i="3"/>
  <c r="E70" i="3"/>
  <c r="D70" i="3"/>
  <c r="P68" i="3"/>
  <c r="P67" i="3"/>
  <c r="O66" i="3"/>
  <c r="N66" i="3"/>
  <c r="M66" i="3"/>
  <c r="L66" i="3"/>
  <c r="K66" i="3"/>
  <c r="J66" i="3"/>
  <c r="I66" i="3"/>
  <c r="H66" i="3"/>
  <c r="G66" i="3"/>
  <c r="F66" i="3"/>
  <c r="E66" i="3"/>
  <c r="D66" i="3"/>
  <c r="P64" i="3"/>
  <c r="P63" i="3"/>
  <c r="O62" i="3"/>
  <c r="N62" i="3"/>
  <c r="M62" i="3"/>
  <c r="L62" i="3"/>
  <c r="K62" i="3"/>
  <c r="J62" i="3"/>
  <c r="I62" i="3"/>
  <c r="H62" i="3"/>
  <c r="G62" i="3"/>
  <c r="F62" i="3"/>
  <c r="E62" i="3"/>
  <c r="D62" i="3"/>
  <c r="P60" i="3"/>
  <c r="P59" i="3"/>
  <c r="O58" i="3"/>
  <c r="N58" i="3"/>
  <c r="M58" i="3"/>
  <c r="L58" i="3"/>
  <c r="K58" i="3"/>
  <c r="J58" i="3"/>
  <c r="I58" i="3"/>
  <c r="H58" i="3"/>
  <c r="G58" i="3"/>
  <c r="F58" i="3"/>
  <c r="E58" i="3"/>
  <c r="D58" i="3"/>
  <c r="P54" i="3"/>
  <c r="P53" i="3"/>
  <c r="P52" i="3"/>
  <c r="O51" i="3"/>
  <c r="N51" i="3"/>
  <c r="M51" i="3"/>
  <c r="L51" i="3"/>
  <c r="K51" i="3"/>
  <c r="J51" i="3"/>
  <c r="I51" i="3"/>
  <c r="H51" i="3"/>
  <c r="G51" i="3"/>
  <c r="F51" i="3"/>
  <c r="E51" i="3"/>
  <c r="D51" i="3"/>
  <c r="P49" i="3"/>
  <c r="P48" i="3"/>
  <c r="P47" i="3"/>
  <c r="P46" i="3"/>
  <c r="O45" i="3"/>
  <c r="N45" i="3"/>
  <c r="M45" i="3"/>
  <c r="L45" i="3"/>
  <c r="K45" i="3"/>
  <c r="J45" i="3"/>
  <c r="I45" i="3"/>
  <c r="H45" i="3"/>
  <c r="G45" i="3"/>
  <c r="F45" i="3"/>
  <c r="E45" i="3"/>
  <c r="D45" i="3"/>
  <c r="P43" i="3"/>
  <c r="P42" i="3"/>
  <c r="P41" i="3"/>
  <c r="O40" i="3"/>
  <c r="N40" i="3"/>
  <c r="M40" i="3"/>
  <c r="L40" i="3"/>
  <c r="K40" i="3"/>
  <c r="J40" i="3"/>
  <c r="I40" i="3"/>
  <c r="H40" i="3"/>
  <c r="G40" i="3"/>
  <c r="F40" i="3"/>
  <c r="E40" i="3"/>
  <c r="D40" i="3"/>
  <c r="P38" i="3"/>
  <c r="P37" i="3"/>
  <c r="P36" i="3"/>
  <c r="O35" i="3"/>
  <c r="N35" i="3"/>
  <c r="M35" i="3"/>
  <c r="L35" i="3"/>
  <c r="K35" i="3"/>
  <c r="J35" i="3"/>
  <c r="I35" i="3"/>
  <c r="H35" i="3"/>
  <c r="G35" i="3"/>
  <c r="F35" i="3"/>
  <c r="E35" i="3"/>
  <c r="D35" i="3"/>
  <c r="O32" i="3"/>
  <c r="N32" i="3"/>
  <c r="M32" i="3"/>
  <c r="L32" i="3"/>
  <c r="K32" i="3"/>
  <c r="J32" i="3"/>
  <c r="I32" i="3"/>
  <c r="H32" i="3"/>
  <c r="G32" i="3"/>
  <c r="F32" i="3"/>
  <c r="E32" i="3"/>
  <c r="D32" i="3"/>
  <c r="P31" i="3"/>
  <c r="P30" i="3"/>
  <c r="P29" i="3"/>
  <c r="P28" i="3"/>
  <c r="P27" i="3"/>
  <c r="P26" i="3"/>
  <c r="O25" i="3"/>
  <c r="N25" i="3"/>
  <c r="M25" i="3"/>
  <c r="L25" i="3"/>
  <c r="K25" i="3"/>
  <c r="J25" i="3"/>
  <c r="I25" i="3"/>
  <c r="H25" i="3"/>
  <c r="G25" i="3"/>
  <c r="F25" i="3"/>
  <c r="E25" i="3"/>
  <c r="D25" i="3"/>
  <c r="P24" i="3"/>
  <c r="P23" i="3"/>
  <c r="O22" i="3"/>
  <c r="N22" i="3"/>
  <c r="M22" i="3"/>
  <c r="L22" i="3"/>
  <c r="K22" i="3"/>
  <c r="J22" i="3"/>
  <c r="I22" i="3"/>
  <c r="H22" i="3"/>
  <c r="G22" i="3"/>
  <c r="F22" i="3"/>
  <c r="E22" i="3"/>
  <c r="D22" i="3"/>
  <c r="P21" i="3"/>
  <c r="O19" i="3"/>
  <c r="N19" i="3"/>
  <c r="M19" i="3"/>
  <c r="L19" i="3"/>
  <c r="K19" i="3"/>
  <c r="J19" i="3"/>
  <c r="I19" i="3"/>
  <c r="H19" i="3"/>
  <c r="G19" i="3"/>
  <c r="F19" i="3"/>
  <c r="E19" i="3"/>
  <c r="D19" i="3"/>
  <c r="P18" i="3"/>
  <c r="P17" i="3"/>
  <c r="P16" i="3"/>
  <c r="P15" i="3"/>
  <c r="P14" i="3"/>
  <c r="P13" i="3"/>
  <c r="P12" i="3"/>
  <c r="P11" i="3"/>
  <c r="O10" i="3"/>
  <c r="N10" i="3"/>
  <c r="M10" i="3"/>
  <c r="L10" i="3"/>
  <c r="K10" i="3"/>
  <c r="J10" i="3"/>
  <c r="I10" i="3"/>
  <c r="H10" i="3"/>
  <c r="G10" i="3"/>
  <c r="F10" i="3"/>
  <c r="E10" i="3"/>
  <c r="D10" i="3"/>
  <c r="P9" i="3"/>
  <c r="P8" i="3"/>
  <c r="P7" i="3"/>
  <c r="P6" i="3"/>
  <c r="P5" i="3"/>
  <c r="P80" i="3"/>
  <c r="P81" i="3"/>
  <c r="P82" i="3"/>
  <c r="P83" i="3"/>
  <c r="P84" i="3"/>
  <c r="P85" i="3"/>
  <c r="K87" i="3"/>
  <c r="P86" i="3"/>
  <c r="D87" i="3"/>
  <c r="E87" i="3"/>
  <c r="F87" i="3"/>
  <c r="G87" i="3"/>
  <c r="H87" i="3"/>
  <c r="I87" i="3"/>
  <c r="J87" i="3"/>
  <c r="L87" i="3"/>
  <c r="M87" i="3"/>
  <c r="N87" i="3"/>
  <c r="O87" i="3"/>
  <c r="P88" i="3"/>
  <c r="P89" i="3"/>
  <c r="P90" i="3"/>
  <c r="P91" i="3"/>
  <c r="P92" i="3"/>
  <c r="P93" i="3"/>
  <c r="P94" i="3"/>
  <c r="P95" i="3"/>
  <c r="D96" i="3"/>
  <c r="E96" i="3"/>
  <c r="F96" i="3"/>
  <c r="G96" i="3"/>
  <c r="H96" i="3"/>
  <c r="I96" i="3"/>
  <c r="J96" i="3"/>
  <c r="K96" i="3"/>
  <c r="L96" i="3"/>
  <c r="M96" i="3"/>
  <c r="N96" i="3"/>
  <c r="O96" i="3"/>
  <c r="P97" i="3"/>
  <c r="P98" i="3"/>
  <c r="P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1" i="3"/>
  <c r="P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4" i="3"/>
  <c r="P105" i="3"/>
  <c r="P106" i="3"/>
  <c r="P107" i="3"/>
  <c r="P108" i="3"/>
  <c r="P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4" i="3"/>
  <c r="P115" i="3"/>
  <c r="P116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9" i="3"/>
  <c r="P120" i="3"/>
  <c r="P121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4" i="3"/>
  <c r="P125" i="3"/>
  <c r="P126" i="3"/>
  <c r="P127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30" i="3"/>
  <c r="P131" i="3"/>
  <c r="P132" i="3"/>
  <c r="P133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6" i="3"/>
  <c r="P137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40" i="3"/>
  <c r="P141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4" i="3"/>
  <c r="P145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8" i="3"/>
  <c r="P149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74" i="3" l="1"/>
  <c r="P62" i="3"/>
  <c r="P58" i="3"/>
  <c r="E112" i="2"/>
  <c r="E128" i="2"/>
  <c r="E80" i="2"/>
  <c r="E48" i="2"/>
  <c r="E16" i="2"/>
  <c r="D16" i="2"/>
  <c r="P70" i="3"/>
  <c r="P45" i="3"/>
  <c r="P51" i="3"/>
  <c r="K33" i="3"/>
  <c r="N33" i="3"/>
  <c r="P35" i="3"/>
  <c r="I33" i="3"/>
  <c r="P135" i="3"/>
  <c r="D33" i="3"/>
  <c r="L33" i="3"/>
  <c r="L111" i="3"/>
  <c r="E33" i="3"/>
  <c r="M33" i="3"/>
  <c r="P25" i="3"/>
  <c r="P66" i="3"/>
  <c r="N111" i="3"/>
  <c r="G33" i="3"/>
  <c r="O33" i="3"/>
  <c r="P22" i="3"/>
  <c r="F33" i="3"/>
  <c r="P32" i="3"/>
  <c r="P40" i="3"/>
  <c r="P19" i="3"/>
  <c r="H33" i="3"/>
  <c r="J33" i="3"/>
  <c r="P10" i="3"/>
  <c r="I111" i="3"/>
  <c r="M111" i="3"/>
  <c r="E111" i="3"/>
  <c r="H111" i="3"/>
  <c r="K111" i="3"/>
  <c r="P96" i="3"/>
  <c r="P87" i="3"/>
  <c r="P103" i="3"/>
  <c r="P129" i="3"/>
  <c r="P123" i="3"/>
  <c r="F111" i="3"/>
  <c r="J111" i="3"/>
  <c r="O111" i="3"/>
  <c r="G111" i="3"/>
  <c r="P139" i="3"/>
  <c r="P143" i="3"/>
  <c r="P110" i="3"/>
  <c r="P100" i="3"/>
  <c r="P147" i="3"/>
  <c r="P113" i="3"/>
  <c r="P118" i="3"/>
  <c r="D111" i="3"/>
  <c r="P33" i="3" l="1"/>
  <c r="P111" i="3"/>
  <c r="E31" i="2" l="1"/>
  <c r="I8" i="1"/>
  <c r="E49" i="25"/>
  <c r="E58" i="25"/>
  <c r="E41" i="25"/>
  <c r="H58" i="25" l="1"/>
  <c r="H49" i="25"/>
  <c r="H41" i="25"/>
  <c r="I58" i="25"/>
  <c r="I49" i="25"/>
  <c r="I41" i="25"/>
  <c r="I61" i="25" l="1"/>
  <c r="E30" i="2"/>
  <c r="E61" i="25" l="1"/>
  <c r="E36" i="25"/>
  <c r="H36" i="25" l="1"/>
  <c r="H61" i="25"/>
  <c r="I36" i="25"/>
  <c r="D29" i="2" l="1"/>
  <c r="E29" i="2" l="1"/>
  <c r="D27" i="2" l="1"/>
  <c r="G8" i="1" l="1"/>
  <c r="D8" i="1"/>
  <c r="E28" i="2"/>
  <c r="J8" i="1" l="1"/>
  <c r="E8" i="1"/>
  <c r="E27" i="2" l="1"/>
  <c r="K8" i="25" l="1"/>
  <c r="G8" i="25"/>
  <c r="F8" i="25"/>
  <c r="K50" i="25" l="1"/>
  <c r="F50" i="25"/>
  <c r="O755" i="3" l="1"/>
  <c r="N755" i="3"/>
  <c r="M755" i="3"/>
  <c r="L755" i="3"/>
  <c r="K755" i="3"/>
  <c r="J755" i="3"/>
  <c r="I755" i="3"/>
  <c r="H755" i="3"/>
  <c r="G755" i="3"/>
  <c r="F755" i="3"/>
  <c r="E755" i="3"/>
  <c r="D755" i="3"/>
  <c r="P754" i="3"/>
  <c r="P753" i="3"/>
  <c r="O752" i="3"/>
  <c r="N752" i="3"/>
  <c r="M752" i="3"/>
  <c r="L752" i="3"/>
  <c r="K752" i="3"/>
  <c r="J752" i="3"/>
  <c r="I752" i="3"/>
  <c r="H752" i="3"/>
  <c r="G752" i="3"/>
  <c r="F752" i="3"/>
  <c r="E752" i="3"/>
  <c r="D752" i="3"/>
  <c r="P751" i="3"/>
  <c r="P750" i="3"/>
  <c r="O749" i="3"/>
  <c r="N749" i="3"/>
  <c r="M749" i="3"/>
  <c r="L749" i="3"/>
  <c r="K749" i="3"/>
  <c r="J749" i="3"/>
  <c r="I749" i="3"/>
  <c r="H749" i="3"/>
  <c r="G749" i="3"/>
  <c r="F749" i="3"/>
  <c r="E749" i="3"/>
  <c r="D749" i="3"/>
  <c r="P748" i="3"/>
  <c r="P747" i="3"/>
  <c r="P746" i="3"/>
  <c r="P745" i="3"/>
  <c r="O744" i="3"/>
  <c r="N744" i="3"/>
  <c r="M744" i="3"/>
  <c r="L744" i="3"/>
  <c r="K744" i="3"/>
  <c r="J744" i="3"/>
  <c r="I744" i="3"/>
  <c r="H744" i="3"/>
  <c r="G744" i="3"/>
  <c r="F744" i="3"/>
  <c r="E744" i="3"/>
  <c r="D744" i="3"/>
  <c r="P743" i="3"/>
  <c r="P742" i="3"/>
  <c r="P741" i="3"/>
  <c r="P740" i="3"/>
  <c r="P739" i="3"/>
  <c r="P738" i="3"/>
  <c r="P737" i="3"/>
  <c r="P736" i="3"/>
  <c r="P735" i="3"/>
  <c r="P734" i="3"/>
  <c r="P733" i="3"/>
  <c r="O728" i="3"/>
  <c r="N728" i="3"/>
  <c r="M728" i="3"/>
  <c r="L728" i="3"/>
  <c r="K728" i="3"/>
  <c r="J728" i="3"/>
  <c r="I728" i="3"/>
  <c r="H728" i="3"/>
  <c r="G728" i="3"/>
  <c r="F728" i="3"/>
  <c r="E728" i="3"/>
  <c r="D728" i="3"/>
  <c r="P727" i="3"/>
  <c r="P726" i="3"/>
  <c r="O725" i="3"/>
  <c r="N725" i="3"/>
  <c r="M725" i="3"/>
  <c r="L725" i="3"/>
  <c r="K725" i="3"/>
  <c r="J725" i="3"/>
  <c r="I725" i="3"/>
  <c r="H725" i="3"/>
  <c r="G725" i="3"/>
  <c r="F725" i="3"/>
  <c r="E725" i="3"/>
  <c r="D725" i="3"/>
  <c r="P724" i="3"/>
  <c r="P723" i="3"/>
  <c r="O722" i="3"/>
  <c r="N722" i="3"/>
  <c r="M722" i="3"/>
  <c r="L722" i="3"/>
  <c r="K722" i="3"/>
  <c r="J722" i="3"/>
  <c r="I722" i="3"/>
  <c r="H722" i="3"/>
  <c r="G722" i="3"/>
  <c r="F722" i="3"/>
  <c r="E722" i="3"/>
  <c r="D722" i="3"/>
  <c r="P721" i="3"/>
  <c r="P720" i="3"/>
  <c r="P719" i="3"/>
  <c r="P718" i="3"/>
  <c r="O717" i="3"/>
  <c r="N717" i="3"/>
  <c r="M717" i="3"/>
  <c r="L717" i="3"/>
  <c r="K717" i="3"/>
  <c r="J717" i="3"/>
  <c r="I717" i="3"/>
  <c r="H717" i="3"/>
  <c r="G717" i="3"/>
  <c r="F717" i="3"/>
  <c r="E717" i="3"/>
  <c r="D717" i="3"/>
  <c r="P716" i="3"/>
  <c r="P715" i="3"/>
  <c r="P714" i="3"/>
  <c r="P713" i="3"/>
  <c r="P712" i="3"/>
  <c r="P711" i="3"/>
  <c r="P710" i="3"/>
  <c r="P709" i="3"/>
  <c r="P708" i="3"/>
  <c r="P707" i="3"/>
  <c r="P706" i="3"/>
  <c r="P705" i="3"/>
  <c r="P704" i="3"/>
  <c r="P700" i="3"/>
  <c r="P699" i="3" s="1"/>
  <c r="O699" i="3"/>
  <c r="N699" i="3"/>
  <c r="N673" i="3" s="1"/>
  <c r="M699" i="3"/>
  <c r="M673" i="3" s="1"/>
  <c r="L699" i="3"/>
  <c r="L673" i="3" s="1"/>
  <c r="K699" i="3"/>
  <c r="K673" i="3" s="1"/>
  <c r="J699" i="3"/>
  <c r="J673" i="3" s="1"/>
  <c r="I699" i="3"/>
  <c r="I673" i="3" s="1"/>
  <c r="H699" i="3"/>
  <c r="G699" i="3"/>
  <c r="F699" i="3"/>
  <c r="F673" i="3" s="1"/>
  <c r="E699" i="3"/>
  <c r="E673" i="3" s="1"/>
  <c r="D699" i="3"/>
  <c r="D673" i="3" s="1"/>
  <c r="P697" i="3"/>
  <c r="P696" i="3"/>
  <c r="P695" i="3"/>
  <c r="O694" i="3"/>
  <c r="N694" i="3"/>
  <c r="M694" i="3"/>
  <c r="M671" i="3" s="1"/>
  <c r="L694" i="3"/>
  <c r="L671" i="3" s="1"/>
  <c r="K694" i="3"/>
  <c r="K671" i="3" s="1"/>
  <c r="J694" i="3"/>
  <c r="J671" i="3" s="1"/>
  <c r="I694" i="3"/>
  <c r="I671" i="3" s="1"/>
  <c r="H694" i="3"/>
  <c r="H671" i="3" s="1"/>
  <c r="G694" i="3"/>
  <c r="G671" i="3" s="1"/>
  <c r="F694" i="3"/>
  <c r="E694" i="3"/>
  <c r="E671" i="3" s="1"/>
  <c r="D694" i="3"/>
  <c r="P692" i="3"/>
  <c r="P691" i="3"/>
  <c r="O690" i="3"/>
  <c r="O669" i="3" s="1"/>
  <c r="N690" i="3"/>
  <c r="N669" i="3" s="1"/>
  <c r="M690" i="3"/>
  <c r="M669" i="3" s="1"/>
  <c r="L690" i="3"/>
  <c r="K690" i="3"/>
  <c r="K669" i="3" s="1"/>
  <c r="J690" i="3"/>
  <c r="I690" i="3"/>
  <c r="I669" i="3" s="1"/>
  <c r="H690" i="3"/>
  <c r="H669" i="3" s="1"/>
  <c r="G690" i="3"/>
  <c r="G669" i="3" s="1"/>
  <c r="F690" i="3"/>
  <c r="F669" i="3" s="1"/>
  <c r="E690" i="3"/>
  <c r="E669" i="3" s="1"/>
  <c r="D690" i="3"/>
  <c r="O687" i="3"/>
  <c r="N687" i="3"/>
  <c r="M687" i="3"/>
  <c r="L687" i="3"/>
  <c r="K687" i="3"/>
  <c r="J687" i="3"/>
  <c r="I687" i="3"/>
  <c r="H687" i="3"/>
  <c r="G687" i="3"/>
  <c r="F687" i="3"/>
  <c r="E687" i="3"/>
  <c r="D687" i="3"/>
  <c r="P686" i="3"/>
  <c r="P685" i="3"/>
  <c r="O684" i="3"/>
  <c r="N684" i="3"/>
  <c r="M684" i="3"/>
  <c r="L684" i="3"/>
  <c r="K684" i="3"/>
  <c r="J684" i="3"/>
  <c r="I684" i="3"/>
  <c r="H684" i="3"/>
  <c r="G684" i="3"/>
  <c r="F684" i="3"/>
  <c r="E684" i="3"/>
  <c r="D684" i="3"/>
  <c r="P683" i="3"/>
  <c r="P682" i="3"/>
  <c r="O681" i="3"/>
  <c r="N681" i="3"/>
  <c r="M681" i="3"/>
  <c r="L681" i="3"/>
  <c r="K681" i="3"/>
  <c r="J681" i="3"/>
  <c r="I681" i="3"/>
  <c r="H681" i="3"/>
  <c r="G681" i="3"/>
  <c r="F681" i="3"/>
  <c r="E681" i="3"/>
  <c r="D681" i="3"/>
  <c r="P680" i="3"/>
  <c r="P679" i="3"/>
  <c r="P678" i="3"/>
  <c r="P676" i="3"/>
  <c r="P675" i="3"/>
  <c r="P674" i="3"/>
  <c r="O673" i="3"/>
  <c r="H673" i="3"/>
  <c r="G673" i="3"/>
  <c r="P672" i="3"/>
  <c r="O671" i="3"/>
  <c r="N671" i="3"/>
  <c r="F671" i="3"/>
  <c r="D671" i="3"/>
  <c r="P670" i="3"/>
  <c r="L669" i="3"/>
  <c r="J669" i="3"/>
  <c r="D669" i="3"/>
  <c r="P668" i="3"/>
  <c r="P667" i="3"/>
  <c r="P666" i="3"/>
  <c r="P665" i="3"/>
  <c r="P661" i="3"/>
  <c r="P660" i="3"/>
  <c r="O659" i="3"/>
  <c r="N659" i="3"/>
  <c r="M659" i="3"/>
  <c r="L659" i="3"/>
  <c r="K659" i="3"/>
  <c r="J659" i="3"/>
  <c r="I659" i="3"/>
  <c r="I635" i="3" s="1"/>
  <c r="I637" i="3" s="1"/>
  <c r="H659" i="3"/>
  <c r="H635" i="3" s="1"/>
  <c r="P657" i="3"/>
  <c r="P656" i="3"/>
  <c r="O655" i="3"/>
  <c r="O628" i="3" s="1"/>
  <c r="N655" i="3"/>
  <c r="N628" i="3" s="1"/>
  <c r="M655" i="3"/>
  <c r="L655" i="3"/>
  <c r="L628" i="3" s="1"/>
  <c r="K655" i="3"/>
  <c r="K628" i="3" s="1"/>
  <c r="J655" i="3"/>
  <c r="J628" i="3" s="1"/>
  <c r="I655" i="3"/>
  <c r="I628" i="3" s="1"/>
  <c r="H655" i="3"/>
  <c r="H628" i="3" s="1"/>
  <c r="G655" i="3"/>
  <c r="F655" i="3"/>
  <c r="F628" i="3" s="1"/>
  <c r="D655" i="3"/>
  <c r="D628" i="3" s="1"/>
  <c r="P653" i="3"/>
  <c r="P652" i="3"/>
  <c r="P651" i="3"/>
  <c r="O650" i="3"/>
  <c r="O627" i="3" s="1"/>
  <c r="N650" i="3"/>
  <c r="N627" i="3" s="1"/>
  <c r="M650" i="3"/>
  <c r="M627" i="3" s="1"/>
  <c r="L650" i="3"/>
  <c r="L627" i="3" s="1"/>
  <c r="K650" i="3"/>
  <c r="K627" i="3" s="1"/>
  <c r="J650" i="3"/>
  <c r="J627" i="3" s="1"/>
  <c r="I650" i="3"/>
  <c r="I627" i="3" s="1"/>
  <c r="H650" i="3"/>
  <c r="H627" i="3" s="1"/>
  <c r="G650" i="3"/>
  <c r="G627" i="3" s="1"/>
  <c r="F650" i="3"/>
  <c r="F627" i="3" s="1"/>
  <c r="E650" i="3"/>
  <c r="E627" i="3" s="1"/>
  <c r="D650" i="3"/>
  <c r="D627" i="3" s="1"/>
  <c r="P648" i="3"/>
  <c r="P647" i="3"/>
  <c r="O646" i="3"/>
  <c r="O625" i="3" s="1"/>
  <c r="N646" i="3"/>
  <c r="N625" i="3" s="1"/>
  <c r="M646" i="3"/>
  <c r="M625" i="3" s="1"/>
  <c r="L646" i="3"/>
  <c r="L625" i="3" s="1"/>
  <c r="K646" i="3"/>
  <c r="K625" i="3" s="1"/>
  <c r="J646" i="3"/>
  <c r="J625" i="3" s="1"/>
  <c r="I646" i="3"/>
  <c r="I625" i="3" s="1"/>
  <c r="H646" i="3"/>
  <c r="H625" i="3" s="1"/>
  <c r="G646" i="3"/>
  <c r="G625" i="3" s="1"/>
  <c r="F646" i="3"/>
  <c r="F625" i="3" s="1"/>
  <c r="E646" i="3"/>
  <c r="E625" i="3" s="1"/>
  <c r="D646" i="3"/>
  <c r="D625" i="3" s="1"/>
  <c r="O643" i="3"/>
  <c r="N643" i="3"/>
  <c r="M643" i="3"/>
  <c r="L643" i="3"/>
  <c r="K643" i="3"/>
  <c r="J643" i="3"/>
  <c r="I643" i="3"/>
  <c r="H643" i="3"/>
  <c r="G643" i="3"/>
  <c r="F643" i="3"/>
  <c r="E643" i="3"/>
  <c r="D643" i="3"/>
  <c r="P642" i="3"/>
  <c r="P641" i="3"/>
  <c r="O640" i="3"/>
  <c r="N640" i="3"/>
  <c r="M640" i="3"/>
  <c r="L640" i="3"/>
  <c r="K640" i="3"/>
  <c r="J640" i="3"/>
  <c r="I640" i="3"/>
  <c r="H640" i="3"/>
  <c r="G640" i="3"/>
  <c r="F640" i="3"/>
  <c r="E640" i="3"/>
  <c r="D640" i="3"/>
  <c r="P639" i="3"/>
  <c r="P638" i="3"/>
  <c r="O637" i="3"/>
  <c r="N637" i="3"/>
  <c r="M637" i="3"/>
  <c r="L637" i="3"/>
  <c r="K637" i="3"/>
  <c r="J637" i="3"/>
  <c r="G637" i="3"/>
  <c r="F637" i="3"/>
  <c r="E637" i="3"/>
  <c r="D637" i="3"/>
  <c r="P636" i="3"/>
  <c r="P634" i="3"/>
  <c r="P632" i="3"/>
  <c r="P631" i="3"/>
  <c r="P630" i="3"/>
  <c r="P629" i="3"/>
  <c r="E628" i="3"/>
  <c r="P626" i="3"/>
  <c r="P624" i="3"/>
  <c r="P623" i="3"/>
  <c r="P622" i="3"/>
  <c r="P621" i="3"/>
  <c r="P617" i="3"/>
  <c r="O616" i="3"/>
  <c r="O614" i="3" s="1"/>
  <c r="O590" i="3" s="1"/>
  <c r="K616" i="3"/>
  <c r="J616" i="3"/>
  <c r="J614" i="3" s="1"/>
  <c r="J590" i="3" s="1"/>
  <c r="I616" i="3"/>
  <c r="H616" i="3"/>
  <c r="G616" i="3"/>
  <c r="F616" i="3"/>
  <c r="E616" i="3"/>
  <c r="K615" i="3"/>
  <c r="I615" i="3"/>
  <c r="H615" i="3"/>
  <c r="G615" i="3"/>
  <c r="F615" i="3"/>
  <c r="F614" i="3" s="1"/>
  <c r="F590" i="3" s="1"/>
  <c r="E615" i="3"/>
  <c r="E614" i="3" s="1"/>
  <c r="E590" i="3" s="1"/>
  <c r="N614" i="3"/>
  <c r="M614" i="3"/>
  <c r="M590" i="3" s="1"/>
  <c r="L614" i="3"/>
  <c r="L590" i="3" s="1"/>
  <c r="D614" i="3"/>
  <c r="D590" i="3" s="1"/>
  <c r="P612" i="3"/>
  <c r="M611" i="3"/>
  <c r="M610" i="3" s="1"/>
  <c r="M588" i="3" s="1"/>
  <c r="K611" i="3"/>
  <c r="K610" i="3" s="1"/>
  <c r="K588" i="3" s="1"/>
  <c r="J611" i="3"/>
  <c r="J610" i="3" s="1"/>
  <c r="J588" i="3" s="1"/>
  <c r="I611" i="3"/>
  <c r="H611" i="3"/>
  <c r="H610" i="3" s="1"/>
  <c r="H588" i="3" s="1"/>
  <c r="G611" i="3"/>
  <c r="O610" i="3"/>
  <c r="O588" i="3" s="1"/>
  <c r="N610" i="3"/>
  <c r="L610" i="3"/>
  <c r="I610" i="3"/>
  <c r="I588" i="3" s="1"/>
  <c r="F610" i="3"/>
  <c r="F588" i="3" s="1"/>
  <c r="E610" i="3"/>
  <c r="D610" i="3"/>
  <c r="D588" i="3" s="1"/>
  <c r="O607" i="3"/>
  <c r="N607" i="3"/>
  <c r="M607" i="3"/>
  <c r="L607" i="3"/>
  <c r="K607" i="3"/>
  <c r="J607" i="3"/>
  <c r="I607" i="3"/>
  <c r="H607" i="3"/>
  <c r="G607" i="3"/>
  <c r="F607" i="3"/>
  <c r="E607" i="3"/>
  <c r="D607" i="3"/>
  <c r="P606" i="3"/>
  <c r="P605" i="3"/>
  <c r="O604" i="3"/>
  <c r="N604" i="3"/>
  <c r="M604" i="3"/>
  <c r="L604" i="3"/>
  <c r="K604" i="3"/>
  <c r="J604" i="3"/>
  <c r="I604" i="3"/>
  <c r="H604" i="3"/>
  <c r="G604" i="3"/>
  <c r="F604" i="3"/>
  <c r="E604" i="3"/>
  <c r="D604" i="3"/>
  <c r="P603" i="3"/>
  <c r="P602" i="3"/>
  <c r="O601" i="3"/>
  <c r="N601" i="3"/>
  <c r="M601" i="3"/>
  <c r="L601" i="3"/>
  <c r="K601" i="3"/>
  <c r="J601" i="3"/>
  <c r="I601" i="3"/>
  <c r="H601" i="3"/>
  <c r="G601" i="3"/>
  <c r="F601" i="3"/>
  <c r="E601" i="3"/>
  <c r="D601" i="3"/>
  <c r="P600" i="3"/>
  <c r="P599" i="3"/>
  <c r="P598" i="3"/>
  <c r="P597" i="3"/>
  <c r="P595" i="3"/>
  <c r="P594" i="3"/>
  <c r="O593" i="3"/>
  <c r="P593" i="3" s="1"/>
  <c r="O592" i="3"/>
  <c r="K592" i="3"/>
  <c r="J592" i="3"/>
  <c r="I592" i="3"/>
  <c r="H592" i="3"/>
  <c r="G592" i="3"/>
  <c r="F592" i="3"/>
  <c r="E592" i="3"/>
  <c r="P591" i="3"/>
  <c r="N590" i="3"/>
  <c r="P589" i="3"/>
  <c r="N588" i="3"/>
  <c r="L588" i="3"/>
  <c r="E588" i="3"/>
  <c r="P587" i="3"/>
  <c r="P586" i="3"/>
  <c r="P582" i="3"/>
  <c r="P581" i="3"/>
  <c r="O580" i="3"/>
  <c r="N580" i="3"/>
  <c r="M580" i="3"/>
  <c r="L580" i="3"/>
  <c r="K580" i="3"/>
  <c r="J580" i="3"/>
  <c r="I580" i="3"/>
  <c r="H580" i="3"/>
  <c r="G580" i="3"/>
  <c r="F580" i="3"/>
  <c r="E580" i="3"/>
  <c r="D580" i="3"/>
  <c r="D550" i="3" s="1"/>
  <c r="P550" i="3" s="1"/>
  <c r="P578" i="3"/>
  <c r="P577" i="3"/>
  <c r="P576" i="3"/>
  <c r="P575" i="3"/>
  <c r="P574" i="3"/>
  <c r="O573" i="3"/>
  <c r="N573" i="3"/>
  <c r="M573" i="3"/>
  <c r="M548" i="3" s="1"/>
  <c r="M555" i="3" s="1"/>
  <c r="L573" i="3"/>
  <c r="K573" i="3"/>
  <c r="J573" i="3"/>
  <c r="I573" i="3"/>
  <c r="H573" i="3"/>
  <c r="G573" i="3"/>
  <c r="F573" i="3"/>
  <c r="E573" i="3"/>
  <c r="D573" i="3"/>
  <c r="D548" i="3" s="1"/>
  <c r="P571" i="3"/>
  <c r="P570" i="3"/>
  <c r="O569" i="3"/>
  <c r="N569" i="3"/>
  <c r="M569" i="3"/>
  <c r="L569" i="3"/>
  <c r="K569" i="3"/>
  <c r="J569" i="3"/>
  <c r="I569" i="3"/>
  <c r="H569" i="3"/>
  <c r="G569" i="3"/>
  <c r="F569" i="3"/>
  <c r="E569" i="3"/>
  <c r="D569" i="3"/>
  <c r="D546" i="3" s="1"/>
  <c r="P546" i="3" s="1"/>
  <c r="O566" i="3"/>
  <c r="N566" i="3"/>
  <c r="M566" i="3"/>
  <c r="L566" i="3"/>
  <c r="K566" i="3"/>
  <c r="J566" i="3"/>
  <c r="I566" i="3"/>
  <c r="H566" i="3"/>
  <c r="G566" i="3"/>
  <c r="F566" i="3"/>
  <c r="E566" i="3"/>
  <c r="D566" i="3"/>
  <c r="P565" i="3"/>
  <c r="P564" i="3"/>
  <c r="O563" i="3"/>
  <c r="N563" i="3"/>
  <c r="M563" i="3"/>
  <c r="L563" i="3"/>
  <c r="K563" i="3"/>
  <c r="J563" i="3"/>
  <c r="I563" i="3"/>
  <c r="H563" i="3"/>
  <c r="G563" i="3"/>
  <c r="F563" i="3"/>
  <c r="E563" i="3"/>
  <c r="D563" i="3"/>
  <c r="P562" i="3"/>
  <c r="P561" i="3"/>
  <c r="O560" i="3"/>
  <c r="N560" i="3"/>
  <c r="M560" i="3"/>
  <c r="L560" i="3"/>
  <c r="K560" i="3"/>
  <c r="J560" i="3"/>
  <c r="I560" i="3"/>
  <c r="H560" i="3"/>
  <c r="G560" i="3"/>
  <c r="F560" i="3"/>
  <c r="E560" i="3"/>
  <c r="D560" i="3"/>
  <c r="P559" i="3"/>
  <c r="P558" i="3"/>
  <c r="P557" i="3"/>
  <c r="P556" i="3"/>
  <c r="O555" i="3"/>
  <c r="N555" i="3"/>
  <c r="L555" i="3"/>
  <c r="K555" i="3"/>
  <c r="J555" i="3"/>
  <c r="I555" i="3"/>
  <c r="H555" i="3"/>
  <c r="G555" i="3"/>
  <c r="F555" i="3"/>
  <c r="E555" i="3"/>
  <c r="P554" i="3"/>
  <c r="P553" i="3"/>
  <c r="P552" i="3"/>
  <c r="P551" i="3"/>
  <c r="P549" i="3"/>
  <c r="P547" i="3"/>
  <c r="P545" i="3"/>
  <c r="P544" i="3"/>
  <c r="G729" i="3" l="1"/>
  <c r="P755" i="3"/>
  <c r="P687" i="3"/>
  <c r="P749" i="3"/>
  <c r="K614" i="3"/>
  <c r="K590" i="3" s="1"/>
  <c r="L756" i="3"/>
  <c r="P684" i="3"/>
  <c r="P690" i="3"/>
  <c r="D756" i="3"/>
  <c r="P752" i="3"/>
  <c r="P640" i="3"/>
  <c r="P646" i="3"/>
  <c r="N596" i="3"/>
  <c r="K756" i="3"/>
  <c r="L633" i="3"/>
  <c r="L644" i="3" s="1"/>
  <c r="D677" i="3"/>
  <c r="D688" i="3" s="1"/>
  <c r="E756" i="3"/>
  <c r="M756" i="3"/>
  <c r="P563" i="3"/>
  <c r="P569" i="3"/>
  <c r="O677" i="3"/>
  <c r="O688" i="3" s="1"/>
  <c r="I567" i="3"/>
  <c r="P650" i="3"/>
  <c r="L677" i="3"/>
  <c r="L688" i="3" s="1"/>
  <c r="K567" i="3"/>
  <c r="F633" i="3"/>
  <c r="F644" i="3" s="1"/>
  <c r="P694" i="3"/>
  <c r="P725" i="3"/>
  <c r="I729" i="3"/>
  <c r="E633" i="3"/>
  <c r="E644" i="3" s="1"/>
  <c r="M633" i="3"/>
  <c r="M644" i="3" s="1"/>
  <c r="J729" i="3"/>
  <c r="N756" i="3"/>
  <c r="K729" i="3"/>
  <c r="E729" i="3"/>
  <c r="G677" i="3"/>
  <c r="G688" i="3" s="1"/>
  <c r="K677" i="3"/>
  <c r="K688" i="3" s="1"/>
  <c r="I756" i="3"/>
  <c r="M729" i="3"/>
  <c r="F756" i="3"/>
  <c r="L596" i="3"/>
  <c r="L608" i="3" s="1"/>
  <c r="P728" i="3"/>
  <c r="P628" i="3"/>
  <c r="M677" i="3"/>
  <c r="M688" i="3" s="1"/>
  <c r="P643" i="3"/>
  <c r="P659" i="3"/>
  <c r="E677" i="3"/>
  <c r="E688" i="3" s="1"/>
  <c r="N677" i="3"/>
  <c r="N688" i="3" s="1"/>
  <c r="N567" i="3"/>
  <c r="N633" i="3"/>
  <c r="N644" i="3" s="1"/>
  <c r="F677" i="3"/>
  <c r="F688" i="3" s="1"/>
  <c r="D729" i="3"/>
  <c r="L729" i="3"/>
  <c r="G756" i="3"/>
  <c r="O756" i="3"/>
  <c r="F567" i="3"/>
  <c r="O633" i="3"/>
  <c r="O644" i="3" s="1"/>
  <c r="H756" i="3"/>
  <c r="G633" i="3"/>
  <c r="G644" i="3" s="1"/>
  <c r="I633" i="3"/>
  <c r="I644" i="3" s="1"/>
  <c r="P655" i="3"/>
  <c r="H677" i="3"/>
  <c r="H688" i="3" s="1"/>
  <c r="F729" i="3"/>
  <c r="N729" i="3"/>
  <c r="P744" i="3"/>
  <c r="H633" i="3"/>
  <c r="P717" i="3"/>
  <c r="O729" i="3"/>
  <c r="J756" i="3"/>
  <c r="K633" i="3"/>
  <c r="K644" i="3" s="1"/>
  <c r="P681" i="3"/>
  <c r="I677" i="3"/>
  <c r="I688" i="3" s="1"/>
  <c r="H729" i="3"/>
  <c r="P722" i="3"/>
  <c r="P671" i="3"/>
  <c r="P627" i="3"/>
  <c r="J677" i="3"/>
  <c r="J688" i="3" s="1"/>
  <c r="J633" i="3"/>
  <c r="J644" i="3" s="1"/>
  <c r="P673" i="3"/>
  <c r="P625" i="3"/>
  <c r="H637" i="3"/>
  <c r="P635" i="3"/>
  <c r="P637" i="3" s="1"/>
  <c r="D633" i="3"/>
  <c r="D644" i="3" s="1"/>
  <c r="P669" i="3"/>
  <c r="I614" i="3"/>
  <c r="I590" i="3" s="1"/>
  <c r="I596" i="3" s="1"/>
  <c r="I608" i="3" s="1"/>
  <c r="P548" i="3"/>
  <c r="P555" i="3" s="1"/>
  <c r="G614" i="3"/>
  <c r="G590" i="3" s="1"/>
  <c r="N608" i="3"/>
  <c r="H567" i="3"/>
  <c r="J567" i="3"/>
  <c r="L567" i="3"/>
  <c r="O596" i="3"/>
  <c r="O608" i="3" s="1"/>
  <c r="P566" i="3"/>
  <c r="P607" i="3"/>
  <c r="P592" i="3"/>
  <c r="P611" i="3"/>
  <c r="P610" i="3" s="1"/>
  <c r="H614" i="3"/>
  <c r="H590" i="3" s="1"/>
  <c r="H596" i="3" s="1"/>
  <c r="H608" i="3" s="1"/>
  <c r="E567" i="3"/>
  <c r="M567" i="3"/>
  <c r="O567" i="3"/>
  <c r="E596" i="3"/>
  <c r="E608" i="3" s="1"/>
  <c r="P601" i="3"/>
  <c r="P604" i="3"/>
  <c r="J596" i="3"/>
  <c r="J608" i="3" s="1"/>
  <c r="G567" i="3"/>
  <c r="P560" i="3"/>
  <c r="K596" i="3"/>
  <c r="K608" i="3" s="1"/>
  <c r="P616" i="3"/>
  <c r="P573" i="3"/>
  <c r="P580" i="3"/>
  <c r="M596" i="3"/>
  <c r="M608" i="3" s="1"/>
  <c r="P615" i="3"/>
  <c r="F596" i="3"/>
  <c r="F608" i="3" s="1"/>
  <c r="D555" i="3"/>
  <c r="D567" i="3" s="1"/>
  <c r="G610" i="3"/>
  <c r="G588" i="3" s="1"/>
  <c r="D596" i="3"/>
  <c r="D608" i="3" s="1"/>
  <c r="P756" i="3" l="1"/>
  <c r="P729" i="3"/>
  <c r="P633" i="3"/>
  <c r="P644" i="3" s="1"/>
  <c r="G596" i="3"/>
  <c r="G608" i="3" s="1"/>
  <c r="H644" i="3"/>
  <c r="P567" i="3"/>
  <c r="P677" i="3"/>
  <c r="P688" i="3" s="1"/>
  <c r="P590" i="3"/>
  <c r="P614" i="3"/>
  <c r="P588" i="3"/>
  <c r="D26" i="2"/>
  <c r="P596" i="3" l="1"/>
  <c r="P608" i="3" s="1"/>
  <c r="E26" i="2" l="1"/>
  <c r="D25" i="2" l="1"/>
  <c r="D22" i="2" l="1"/>
  <c r="E25" i="2" l="1"/>
  <c r="K8" i="1" l="1"/>
  <c r="E24" i="2"/>
  <c r="F33" i="25"/>
  <c r="G10" i="25"/>
  <c r="H8" i="1"/>
  <c r="D23" i="2"/>
  <c r="E23" i="2" s="1"/>
  <c r="K61" i="25"/>
  <c r="G41" i="25"/>
  <c r="E22" i="2"/>
  <c r="G58" i="25"/>
  <c r="K54" i="25"/>
  <c r="G54" i="25"/>
  <c r="F54" i="25"/>
  <c r="K49" i="25"/>
  <c r="D21" i="2"/>
  <c r="E21" i="2" s="1"/>
  <c r="G5" i="1"/>
  <c r="K58" i="25"/>
  <c r="D20" i="2"/>
  <c r="E20" i="2"/>
  <c r="G22" i="25"/>
  <c r="C32" i="2"/>
  <c r="K15" i="25"/>
  <c r="F15" i="25"/>
  <c r="F20" i="25"/>
  <c r="K20" i="25"/>
  <c r="K30" i="25"/>
  <c r="F30" i="25"/>
  <c r="F51" i="25"/>
  <c r="P153" i="3"/>
  <c r="P152" i="3"/>
  <c r="P157" i="3"/>
  <c r="P158" i="3"/>
  <c r="P159" i="3"/>
  <c r="P160" i="3"/>
  <c r="P161" i="3"/>
  <c r="P162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4" i="3"/>
  <c r="P165" i="3"/>
  <c r="P166" i="3"/>
  <c r="P167" i="3"/>
  <c r="P168" i="3"/>
  <c r="P169" i="3"/>
  <c r="P170" i="3"/>
  <c r="P171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3" i="3"/>
  <c r="P174" i="3"/>
  <c r="P175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I177" i="3"/>
  <c r="P177" i="3" s="1"/>
  <c r="I178" i="3"/>
  <c r="P178" i="3" s="1"/>
  <c r="D179" i="3"/>
  <c r="E179" i="3"/>
  <c r="F179" i="3"/>
  <c r="G179" i="3"/>
  <c r="H179" i="3"/>
  <c r="J179" i="3"/>
  <c r="K179" i="3"/>
  <c r="L179" i="3"/>
  <c r="M179" i="3"/>
  <c r="N179" i="3"/>
  <c r="O179" i="3"/>
  <c r="P180" i="3"/>
  <c r="P181" i="3"/>
  <c r="P182" i="3"/>
  <c r="P183" i="3"/>
  <c r="P184" i="3"/>
  <c r="P185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90" i="3"/>
  <c r="P191" i="3"/>
  <c r="P192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5" i="3"/>
  <c r="P196" i="3"/>
  <c r="P197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200" i="3"/>
  <c r="P201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4" i="3"/>
  <c r="P205" i="3"/>
  <c r="P206" i="3"/>
  <c r="P207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10" i="3"/>
  <c r="P211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4" i="3"/>
  <c r="P215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H4" i="25"/>
  <c r="H7" i="1"/>
  <c r="K7" i="1"/>
  <c r="G6" i="25"/>
  <c r="G7" i="25"/>
  <c r="G9" i="25"/>
  <c r="G52" i="25"/>
  <c r="G53" i="25"/>
  <c r="G55" i="25"/>
  <c r="F53" i="25"/>
  <c r="K53" i="25"/>
  <c r="G29" i="25"/>
  <c r="F29" i="25"/>
  <c r="K6" i="1"/>
  <c r="F7" i="1"/>
  <c r="F6" i="1"/>
  <c r="K11" i="25"/>
  <c r="G11" i="25"/>
  <c r="F11" i="25"/>
  <c r="K12" i="25"/>
  <c r="G12" i="25"/>
  <c r="F12" i="25"/>
  <c r="K52" i="25"/>
  <c r="F55" i="25"/>
  <c r="F52" i="25"/>
  <c r="G47" i="25"/>
  <c r="F47" i="25"/>
  <c r="I4" i="25"/>
  <c r="P218" i="3"/>
  <c r="P219" i="3"/>
  <c r="P220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3" i="3"/>
  <c r="P224" i="3"/>
  <c r="K47" i="25"/>
  <c r="G51" i="25"/>
  <c r="G20" i="25"/>
  <c r="G15" i="25"/>
  <c r="P228" i="3"/>
  <c r="O236" i="3"/>
  <c r="P253" i="3"/>
  <c r="G30" i="25"/>
  <c r="N236" i="3"/>
  <c r="P285" i="3"/>
  <c r="P284" i="3"/>
  <c r="P283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G59" i="25"/>
  <c r="F59" i="25"/>
  <c r="G56" i="25"/>
  <c r="F56" i="25"/>
  <c r="G46" i="25"/>
  <c r="F46" i="25"/>
  <c r="J5" i="1"/>
  <c r="G42" i="25"/>
  <c r="F42" i="25"/>
  <c r="E258" i="3"/>
  <c r="F258" i="3"/>
  <c r="G258" i="3"/>
  <c r="H258" i="3"/>
  <c r="I258" i="3"/>
  <c r="J258" i="3"/>
  <c r="K258" i="3"/>
  <c r="L258" i="3"/>
  <c r="M258" i="3"/>
  <c r="N258" i="3"/>
  <c r="O258" i="3"/>
  <c r="D258" i="3"/>
  <c r="P261" i="3"/>
  <c r="J236" i="3"/>
  <c r="K236" i="3"/>
  <c r="L243" i="3"/>
  <c r="K243" i="3"/>
  <c r="K246" i="3"/>
  <c r="K249" i="3"/>
  <c r="K255" i="3"/>
  <c r="K263" i="3"/>
  <c r="K267" i="3"/>
  <c r="K273" i="3"/>
  <c r="K277" i="3"/>
  <c r="K287" i="3"/>
  <c r="K291" i="3"/>
  <c r="J249" i="3"/>
  <c r="J274" i="3"/>
  <c r="P274" i="3" s="1"/>
  <c r="K305" i="3"/>
  <c r="L305" i="3"/>
  <c r="M305" i="3"/>
  <c r="N305" i="3"/>
  <c r="O305" i="3"/>
  <c r="K312" i="3"/>
  <c r="L312" i="3"/>
  <c r="M312" i="3"/>
  <c r="N312" i="3"/>
  <c r="O312" i="3"/>
  <c r="O314" i="3"/>
  <c r="P314" i="3" s="1"/>
  <c r="K315" i="3"/>
  <c r="L315" i="3"/>
  <c r="M315" i="3"/>
  <c r="N315" i="3"/>
  <c r="K318" i="3"/>
  <c r="L318" i="3"/>
  <c r="M318" i="3"/>
  <c r="N318" i="3"/>
  <c r="O318" i="3"/>
  <c r="K322" i="3"/>
  <c r="L322" i="3"/>
  <c r="M322" i="3"/>
  <c r="N322" i="3"/>
  <c r="O322" i="3"/>
  <c r="K325" i="3"/>
  <c r="L325" i="3"/>
  <c r="M325" i="3"/>
  <c r="N325" i="3"/>
  <c r="O325" i="3"/>
  <c r="K329" i="3"/>
  <c r="L329" i="3"/>
  <c r="M329" i="3"/>
  <c r="N329" i="3"/>
  <c r="O329" i="3"/>
  <c r="K335" i="3"/>
  <c r="L335" i="3"/>
  <c r="M335" i="3"/>
  <c r="N335" i="3"/>
  <c r="O335" i="3"/>
  <c r="K339" i="3"/>
  <c r="L339" i="3"/>
  <c r="M339" i="3"/>
  <c r="N339" i="3"/>
  <c r="O339" i="3"/>
  <c r="K344" i="3"/>
  <c r="L344" i="3"/>
  <c r="M344" i="3"/>
  <c r="N344" i="3"/>
  <c r="O344" i="3"/>
  <c r="K348" i="3"/>
  <c r="L348" i="3"/>
  <c r="M348" i="3"/>
  <c r="N348" i="3"/>
  <c r="O348" i="3"/>
  <c r="K363" i="3"/>
  <c r="L363" i="3"/>
  <c r="M363" i="3"/>
  <c r="N363" i="3"/>
  <c r="O363" i="3"/>
  <c r="K370" i="3"/>
  <c r="L370" i="3"/>
  <c r="M370" i="3"/>
  <c r="N370" i="3"/>
  <c r="O370" i="3"/>
  <c r="K373" i="3"/>
  <c r="L373" i="3"/>
  <c r="M373" i="3"/>
  <c r="N373" i="3"/>
  <c r="O373" i="3"/>
  <c r="K376" i="3"/>
  <c r="L376" i="3"/>
  <c r="M376" i="3"/>
  <c r="N376" i="3"/>
  <c r="O376" i="3"/>
  <c r="K380" i="3"/>
  <c r="L380" i="3"/>
  <c r="M380" i="3"/>
  <c r="N380" i="3"/>
  <c r="O380" i="3"/>
  <c r="K383" i="3"/>
  <c r="L383" i="3"/>
  <c r="M383" i="3"/>
  <c r="N383" i="3"/>
  <c r="O383" i="3"/>
  <c r="K387" i="3"/>
  <c r="L387" i="3"/>
  <c r="M387" i="3"/>
  <c r="N387" i="3"/>
  <c r="O387" i="3"/>
  <c r="K392" i="3"/>
  <c r="L392" i="3"/>
  <c r="M392" i="3"/>
  <c r="N392" i="3"/>
  <c r="O392" i="3"/>
  <c r="K396" i="3"/>
  <c r="L396" i="3"/>
  <c r="M396" i="3"/>
  <c r="N396" i="3"/>
  <c r="O396" i="3"/>
  <c r="K400" i="3"/>
  <c r="L400" i="3"/>
  <c r="M400" i="3"/>
  <c r="N400" i="3"/>
  <c r="O400" i="3"/>
  <c r="K404" i="3"/>
  <c r="L404" i="3"/>
  <c r="M404" i="3"/>
  <c r="N404" i="3"/>
  <c r="O404" i="3"/>
  <c r="K419" i="3"/>
  <c r="L419" i="3"/>
  <c r="M419" i="3"/>
  <c r="N419" i="3"/>
  <c r="O419" i="3"/>
  <c r="K424" i="3"/>
  <c r="L424" i="3"/>
  <c r="M424" i="3"/>
  <c r="N424" i="3"/>
  <c r="O424" i="3"/>
  <c r="K427" i="3"/>
  <c r="L427" i="3"/>
  <c r="M427" i="3"/>
  <c r="N427" i="3"/>
  <c r="O427" i="3"/>
  <c r="K430" i="3"/>
  <c r="L430" i="3"/>
  <c r="M430" i="3"/>
  <c r="N430" i="3"/>
  <c r="O430" i="3"/>
  <c r="K434" i="3"/>
  <c r="L434" i="3"/>
  <c r="M434" i="3"/>
  <c r="N434" i="3"/>
  <c r="O434" i="3"/>
  <c r="K437" i="3"/>
  <c r="L437" i="3"/>
  <c r="M437" i="3"/>
  <c r="N437" i="3"/>
  <c r="O437" i="3"/>
  <c r="K443" i="3"/>
  <c r="L443" i="3"/>
  <c r="M443" i="3"/>
  <c r="N443" i="3"/>
  <c r="O443" i="3"/>
  <c r="K448" i="3"/>
  <c r="L448" i="3"/>
  <c r="M448" i="3"/>
  <c r="N448" i="3"/>
  <c r="O448" i="3"/>
  <c r="K479" i="3"/>
  <c r="L479" i="3"/>
  <c r="M479" i="3"/>
  <c r="N479" i="3"/>
  <c r="O479" i="3"/>
  <c r="K481" i="3"/>
  <c r="L481" i="3"/>
  <c r="M481" i="3"/>
  <c r="N481" i="3"/>
  <c r="O481" i="3"/>
  <c r="K486" i="3"/>
  <c r="L486" i="3"/>
  <c r="M486" i="3"/>
  <c r="N486" i="3"/>
  <c r="O486" i="3"/>
  <c r="K491" i="3"/>
  <c r="L491" i="3"/>
  <c r="M491" i="3"/>
  <c r="N491" i="3"/>
  <c r="O491" i="3"/>
  <c r="K508" i="3"/>
  <c r="L508" i="3"/>
  <c r="M508" i="3"/>
  <c r="N508" i="3"/>
  <c r="O508" i="3"/>
  <c r="K513" i="3"/>
  <c r="L513" i="3"/>
  <c r="M513" i="3"/>
  <c r="N513" i="3"/>
  <c r="O513" i="3"/>
  <c r="K516" i="3"/>
  <c r="L516" i="3"/>
  <c r="M516" i="3"/>
  <c r="N516" i="3"/>
  <c r="O516" i="3"/>
  <c r="K519" i="3"/>
  <c r="L519" i="3"/>
  <c r="M519" i="3"/>
  <c r="N519" i="3"/>
  <c r="O519" i="3"/>
  <c r="K522" i="3"/>
  <c r="L522" i="3"/>
  <c r="M522" i="3"/>
  <c r="O522" i="3"/>
  <c r="K525" i="3"/>
  <c r="L525" i="3"/>
  <c r="M525" i="3"/>
  <c r="N525" i="3"/>
  <c r="O525" i="3"/>
  <c r="K529" i="3"/>
  <c r="L529" i="3"/>
  <c r="M529" i="3"/>
  <c r="N529" i="3"/>
  <c r="O529" i="3"/>
  <c r="K534" i="3"/>
  <c r="L534" i="3"/>
  <c r="M534" i="3"/>
  <c r="N534" i="3"/>
  <c r="O534" i="3"/>
  <c r="K538" i="3"/>
  <c r="L538" i="3"/>
  <c r="M538" i="3"/>
  <c r="N538" i="3"/>
  <c r="O538" i="3"/>
  <c r="I248" i="3"/>
  <c r="I247" i="3"/>
  <c r="I229" i="3"/>
  <c r="I236" i="3" s="1"/>
  <c r="J305" i="3"/>
  <c r="J312" i="3"/>
  <c r="J315" i="3"/>
  <c r="J318" i="3"/>
  <c r="J322" i="3"/>
  <c r="J325" i="3"/>
  <c r="J329" i="3"/>
  <c r="J335" i="3"/>
  <c r="J339" i="3"/>
  <c r="J344" i="3"/>
  <c r="J348" i="3"/>
  <c r="I305" i="3"/>
  <c r="I312" i="3"/>
  <c r="I315" i="3"/>
  <c r="I318" i="3"/>
  <c r="I322" i="3"/>
  <c r="I325" i="3"/>
  <c r="I329" i="3"/>
  <c r="I335" i="3"/>
  <c r="I339" i="3"/>
  <c r="I344" i="3"/>
  <c r="I348" i="3"/>
  <c r="H248" i="3"/>
  <c r="H247" i="3"/>
  <c r="H229" i="3"/>
  <c r="H236" i="3" s="1"/>
  <c r="H305" i="3"/>
  <c r="H312" i="3"/>
  <c r="H315" i="3"/>
  <c r="H318" i="3"/>
  <c r="H322" i="3"/>
  <c r="H325" i="3"/>
  <c r="H329" i="3"/>
  <c r="H335" i="3"/>
  <c r="H339" i="3"/>
  <c r="H344" i="3"/>
  <c r="H348" i="3"/>
  <c r="H363" i="3"/>
  <c r="I363" i="3"/>
  <c r="J363" i="3"/>
  <c r="H370" i="3"/>
  <c r="I370" i="3"/>
  <c r="J370" i="3"/>
  <c r="H373" i="3"/>
  <c r="I373" i="3"/>
  <c r="J373" i="3"/>
  <c r="H376" i="3"/>
  <c r="I376" i="3"/>
  <c r="J376" i="3"/>
  <c r="H380" i="3"/>
  <c r="I380" i="3"/>
  <c r="J380" i="3"/>
  <c r="H383" i="3"/>
  <c r="I383" i="3"/>
  <c r="J383" i="3"/>
  <c r="H387" i="3"/>
  <c r="I387" i="3"/>
  <c r="J387" i="3"/>
  <c r="H392" i="3"/>
  <c r="I392" i="3"/>
  <c r="J392" i="3"/>
  <c r="H396" i="3"/>
  <c r="I396" i="3"/>
  <c r="J396" i="3"/>
  <c r="H400" i="3"/>
  <c r="I400" i="3"/>
  <c r="J400" i="3"/>
  <c r="H404" i="3"/>
  <c r="I404" i="3"/>
  <c r="J404" i="3"/>
  <c r="H419" i="3"/>
  <c r="I419" i="3"/>
  <c r="J419" i="3"/>
  <c r="H424" i="3"/>
  <c r="I424" i="3"/>
  <c r="J424" i="3"/>
  <c r="H427" i="3"/>
  <c r="I427" i="3"/>
  <c r="J427" i="3"/>
  <c r="H430" i="3"/>
  <c r="I430" i="3"/>
  <c r="J430" i="3"/>
  <c r="H434" i="3"/>
  <c r="I434" i="3"/>
  <c r="J434" i="3"/>
  <c r="H437" i="3"/>
  <c r="I437" i="3"/>
  <c r="J437" i="3"/>
  <c r="H443" i="3"/>
  <c r="I443" i="3"/>
  <c r="J443" i="3"/>
  <c r="H448" i="3"/>
  <c r="I448" i="3"/>
  <c r="J448" i="3"/>
  <c r="H465" i="3"/>
  <c r="I465" i="3"/>
  <c r="H469" i="3"/>
  <c r="I469" i="3"/>
  <c r="H472" i="3"/>
  <c r="I472" i="3"/>
  <c r="H475" i="3"/>
  <c r="I475" i="3"/>
  <c r="H478" i="3"/>
  <c r="I478" i="3"/>
  <c r="J479" i="3"/>
  <c r="H481" i="3"/>
  <c r="I481" i="3"/>
  <c r="J481" i="3"/>
  <c r="H486" i="3"/>
  <c r="I486" i="3"/>
  <c r="J486" i="3"/>
  <c r="H491" i="3"/>
  <c r="I491" i="3"/>
  <c r="J491" i="3"/>
  <c r="H508" i="3"/>
  <c r="I508" i="3"/>
  <c r="J508" i="3"/>
  <c r="H513" i="3"/>
  <c r="I513" i="3"/>
  <c r="J513" i="3"/>
  <c r="H516" i="3"/>
  <c r="I516" i="3"/>
  <c r="J516" i="3"/>
  <c r="H519" i="3"/>
  <c r="I519" i="3"/>
  <c r="J519" i="3"/>
  <c r="H522" i="3"/>
  <c r="I522" i="3"/>
  <c r="J522" i="3"/>
  <c r="H525" i="3"/>
  <c r="I525" i="3"/>
  <c r="J525" i="3"/>
  <c r="H529" i="3"/>
  <c r="I529" i="3"/>
  <c r="J529" i="3"/>
  <c r="H534" i="3"/>
  <c r="I534" i="3"/>
  <c r="J534" i="3"/>
  <c r="H538" i="3"/>
  <c r="I538" i="3"/>
  <c r="J538" i="3"/>
  <c r="G248" i="3"/>
  <c r="G247" i="3"/>
  <c r="P260" i="3"/>
  <c r="P259" i="3"/>
  <c r="G229" i="3"/>
  <c r="G236" i="3" s="1"/>
  <c r="G305" i="3"/>
  <c r="G312" i="3"/>
  <c r="G315" i="3"/>
  <c r="G318" i="3"/>
  <c r="G322" i="3"/>
  <c r="G325" i="3"/>
  <c r="G329" i="3"/>
  <c r="G335" i="3"/>
  <c r="G339" i="3"/>
  <c r="G344" i="3"/>
  <c r="G348" i="3"/>
  <c r="G363" i="3"/>
  <c r="G370" i="3"/>
  <c r="G373" i="3"/>
  <c r="G376" i="3"/>
  <c r="G380" i="3"/>
  <c r="G383" i="3"/>
  <c r="G387" i="3"/>
  <c r="G392" i="3"/>
  <c r="G396" i="3"/>
  <c r="G400" i="3"/>
  <c r="G404" i="3"/>
  <c r="G419" i="3"/>
  <c r="G424" i="3"/>
  <c r="G427" i="3"/>
  <c r="G430" i="3"/>
  <c r="G434" i="3"/>
  <c r="G437" i="3"/>
  <c r="G443" i="3"/>
  <c r="G448" i="3"/>
  <c r="G465" i="3"/>
  <c r="G469" i="3"/>
  <c r="G472" i="3"/>
  <c r="G475" i="3"/>
  <c r="G478" i="3"/>
  <c r="G481" i="3"/>
  <c r="G486" i="3"/>
  <c r="G491" i="3"/>
  <c r="G508" i="3"/>
  <c r="G513" i="3"/>
  <c r="G516" i="3"/>
  <c r="G519" i="3"/>
  <c r="G522" i="3"/>
  <c r="G525" i="3"/>
  <c r="G529" i="3"/>
  <c r="G534" i="3"/>
  <c r="G538" i="3"/>
  <c r="P289" i="3"/>
  <c r="P288" i="3"/>
  <c r="O287" i="3"/>
  <c r="N287" i="3"/>
  <c r="M287" i="3"/>
  <c r="L287" i="3"/>
  <c r="J287" i="3"/>
  <c r="I287" i="3"/>
  <c r="H287" i="3"/>
  <c r="G287" i="3"/>
  <c r="F287" i="3"/>
  <c r="E287" i="3"/>
  <c r="D287" i="3"/>
  <c r="F248" i="3"/>
  <c r="F247" i="3"/>
  <c r="F245" i="3"/>
  <c r="F246" i="3" s="1"/>
  <c r="F238" i="3"/>
  <c r="F243" i="3" s="1"/>
  <c r="F251" i="3"/>
  <c r="F255" i="3" s="1"/>
  <c r="F235" i="3"/>
  <c r="P235" i="3" s="1"/>
  <c r="F233" i="3"/>
  <c r="P233" i="3" s="1"/>
  <c r="F231" i="3"/>
  <c r="P231" i="3" s="1"/>
  <c r="F229" i="3"/>
  <c r="F305" i="3"/>
  <c r="F312" i="3"/>
  <c r="F315" i="3"/>
  <c r="F318" i="3"/>
  <c r="F322" i="3"/>
  <c r="F325" i="3"/>
  <c r="F329" i="3"/>
  <c r="F335" i="3"/>
  <c r="F339" i="3"/>
  <c r="F344" i="3"/>
  <c r="F348" i="3"/>
  <c r="E248" i="3"/>
  <c r="E247" i="3"/>
  <c r="E229" i="3"/>
  <c r="E236" i="3" s="1"/>
  <c r="G28" i="25"/>
  <c r="F28" i="25"/>
  <c r="D248" i="3"/>
  <c r="D247" i="3"/>
  <c r="D229" i="3"/>
  <c r="D236" i="3" s="1"/>
  <c r="P252" i="3"/>
  <c r="P293" i="3"/>
  <c r="P292" i="3"/>
  <c r="O291" i="3"/>
  <c r="N291" i="3"/>
  <c r="M291" i="3"/>
  <c r="L291" i="3"/>
  <c r="J291" i="3"/>
  <c r="I291" i="3"/>
  <c r="H291" i="3"/>
  <c r="G291" i="3"/>
  <c r="F291" i="3"/>
  <c r="E291" i="3"/>
  <c r="D291" i="3"/>
  <c r="P280" i="3"/>
  <c r="P279" i="3"/>
  <c r="P278" i="3"/>
  <c r="O277" i="3"/>
  <c r="N277" i="3"/>
  <c r="M277" i="3"/>
  <c r="L277" i="3"/>
  <c r="J277" i="3"/>
  <c r="I277" i="3"/>
  <c r="H277" i="3"/>
  <c r="G277" i="3"/>
  <c r="F277" i="3"/>
  <c r="E277" i="3"/>
  <c r="D277" i="3"/>
  <c r="P275" i="3"/>
  <c r="O273" i="3"/>
  <c r="N273" i="3"/>
  <c r="M273" i="3"/>
  <c r="L273" i="3"/>
  <c r="I273" i="3"/>
  <c r="H273" i="3"/>
  <c r="G273" i="3"/>
  <c r="F273" i="3"/>
  <c r="E273" i="3"/>
  <c r="D273" i="3"/>
  <c r="P271" i="3"/>
  <c r="P270" i="3"/>
  <c r="P269" i="3"/>
  <c r="P268" i="3"/>
  <c r="O267" i="3"/>
  <c r="N267" i="3"/>
  <c r="M267" i="3"/>
  <c r="L267" i="3"/>
  <c r="J267" i="3"/>
  <c r="I267" i="3"/>
  <c r="H267" i="3"/>
  <c r="G267" i="3"/>
  <c r="F267" i="3"/>
  <c r="E267" i="3"/>
  <c r="D267" i="3"/>
  <c r="P265" i="3"/>
  <c r="P264" i="3"/>
  <c r="O263" i="3"/>
  <c r="N263" i="3"/>
  <c r="M263" i="3"/>
  <c r="L263" i="3"/>
  <c r="J263" i="3"/>
  <c r="I263" i="3"/>
  <c r="H263" i="3"/>
  <c r="G263" i="3"/>
  <c r="F263" i="3"/>
  <c r="E263" i="3"/>
  <c r="D263" i="3"/>
  <c r="O255" i="3"/>
  <c r="N255" i="3"/>
  <c r="M255" i="3"/>
  <c r="L255" i="3"/>
  <c r="J255" i="3"/>
  <c r="I255" i="3"/>
  <c r="H255" i="3"/>
  <c r="G255" i="3"/>
  <c r="E255" i="3"/>
  <c r="D255" i="3"/>
  <c r="P254" i="3"/>
  <c r="P250" i="3"/>
  <c r="O249" i="3"/>
  <c r="N249" i="3"/>
  <c r="M249" i="3"/>
  <c r="L249" i="3"/>
  <c r="N246" i="3"/>
  <c r="M246" i="3"/>
  <c r="L246" i="3"/>
  <c r="J246" i="3"/>
  <c r="I246" i="3"/>
  <c r="H246" i="3"/>
  <c r="G246" i="3"/>
  <c r="E246" i="3"/>
  <c r="D246" i="3"/>
  <c r="O246" i="3"/>
  <c r="P244" i="3"/>
  <c r="O243" i="3"/>
  <c r="N243" i="3"/>
  <c r="M243" i="3"/>
  <c r="J243" i="3"/>
  <c r="I243" i="3"/>
  <c r="H243" i="3"/>
  <c r="G243" i="3"/>
  <c r="E243" i="3"/>
  <c r="D243" i="3"/>
  <c r="P242" i="3"/>
  <c r="P241" i="3"/>
  <c r="P240" i="3"/>
  <c r="P239" i="3"/>
  <c r="P237" i="3"/>
  <c r="M236" i="3"/>
  <c r="L236" i="3"/>
  <c r="P234" i="3"/>
  <c r="P232" i="3"/>
  <c r="P230" i="3"/>
  <c r="P350" i="3"/>
  <c r="P349" i="3"/>
  <c r="E348" i="3"/>
  <c r="D348" i="3"/>
  <c r="P397" i="3"/>
  <c r="P398" i="3"/>
  <c r="P390" i="3"/>
  <c r="P389" i="3"/>
  <c r="P388" i="3"/>
  <c r="F387" i="3"/>
  <c r="E387" i="3"/>
  <c r="D387" i="3"/>
  <c r="P385" i="3"/>
  <c r="P384" i="3"/>
  <c r="F383" i="3"/>
  <c r="E383" i="3"/>
  <c r="D383" i="3"/>
  <c r="P337" i="3"/>
  <c r="P336" i="3"/>
  <c r="E335" i="3"/>
  <c r="D335" i="3"/>
  <c r="P327" i="3"/>
  <c r="P326" i="3"/>
  <c r="E325" i="3"/>
  <c r="D325" i="3"/>
  <c r="G45" i="25"/>
  <c r="F45" i="25"/>
  <c r="P341" i="3"/>
  <c r="P340" i="3"/>
  <c r="P342" i="3"/>
  <c r="E329" i="3"/>
  <c r="D329" i="3"/>
  <c r="P332" i="3"/>
  <c r="P307" i="3"/>
  <c r="G13" i="25"/>
  <c r="F13" i="25"/>
  <c r="F363" i="3"/>
  <c r="F370" i="3"/>
  <c r="F373" i="3"/>
  <c r="F376" i="3"/>
  <c r="F380" i="3"/>
  <c r="F392" i="3"/>
  <c r="F396" i="3"/>
  <c r="F400" i="3"/>
  <c r="F404" i="3"/>
  <c r="P346" i="3"/>
  <c r="P345" i="3"/>
  <c r="E344" i="3"/>
  <c r="D344" i="3"/>
  <c r="E339" i="3"/>
  <c r="D339" i="3"/>
  <c r="P331" i="3"/>
  <c r="P330" i="3"/>
  <c r="P333" i="3"/>
  <c r="E322" i="3"/>
  <c r="D322" i="3"/>
  <c r="P321" i="3"/>
  <c r="P320" i="3"/>
  <c r="P319" i="3"/>
  <c r="E318" i="3"/>
  <c r="D318" i="3"/>
  <c r="P317" i="3"/>
  <c r="P316" i="3"/>
  <c r="E315" i="3"/>
  <c r="D315" i="3"/>
  <c r="P313" i="3"/>
  <c r="E312" i="3"/>
  <c r="D312" i="3"/>
  <c r="P311" i="3"/>
  <c r="P310" i="3"/>
  <c r="P309" i="3"/>
  <c r="P308" i="3"/>
  <c r="P306" i="3"/>
  <c r="E305" i="3"/>
  <c r="D305" i="3"/>
  <c r="P304" i="3"/>
  <c r="P303" i="3"/>
  <c r="P302" i="3"/>
  <c r="P301" i="3"/>
  <c r="P300" i="3"/>
  <c r="P299" i="3"/>
  <c r="P298" i="3"/>
  <c r="P297" i="3"/>
  <c r="P368" i="3"/>
  <c r="P406" i="3"/>
  <c r="P405" i="3"/>
  <c r="E404" i="3"/>
  <c r="D404" i="3"/>
  <c r="E5" i="1"/>
  <c r="E396" i="3"/>
  <c r="D396" i="3"/>
  <c r="P366" i="3"/>
  <c r="F16" i="25"/>
  <c r="G16" i="25"/>
  <c r="F415" i="3"/>
  <c r="F417" i="3"/>
  <c r="P417" i="3" s="1"/>
  <c r="F424" i="3"/>
  <c r="F427" i="3"/>
  <c r="F430" i="3"/>
  <c r="F434" i="3"/>
  <c r="F437" i="3"/>
  <c r="F443" i="3"/>
  <c r="F448" i="3"/>
  <c r="F465" i="3"/>
  <c r="F469" i="3"/>
  <c r="F472" i="3"/>
  <c r="F475" i="3"/>
  <c r="F478" i="3"/>
  <c r="F481" i="3"/>
  <c r="F486" i="3"/>
  <c r="F491" i="3"/>
  <c r="F508" i="3"/>
  <c r="F513" i="3"/>
  <c r="F516" i="3"/>
  <c r="F519" i="3"/>
  <c r="F522" i="3"/>
  <c r="F525" i="3"/>
  <c r="F529" i="3"/>
  <c r="F534" i="3"/>
  <c r="F538" i="3"/>
  <c r="P402" i="3"/>
  <c r="P401" i="3"/>
  <c r="E400" i="3"/>
  <c r="D400" i="3"/>
  <c r="K34" i="25"/>
  <c r="G34" i="25"/>
  <c r="F34" i="25"/>
  <c r="E419" i="3"/>
  <c r="E424" i="3"/>
  <c r="E427" i="3"/>
  <c r="E430" i="3"/>
  <c r="E434" i="3"/>
  <c r="E437" i="3"/>
  <c r="E443" i="3"/>
  <c r="E448" i="3"/>
  <c r="D374" i="3"/>
  <c r="P374" i="3" s="1"/>
  <c r="D375" i="3"/>
  <c r="P375" i="3" s="1"/>
  <c r="D361" i="3"/>
  <c r="P361" i="3" s="1"/>
  <c r="D359" i="3"/>
  <c r="P359" i="3" s="1"/>
  <c r="P394" i="3"/>
  <c r="P393" i="3"/>
  <c r="E392" i="3"/>
  <c r="D392" i="3"/>
  <c r="E380" i="3"/>
  <c r="D380" i="3"/>
  <c r="P379" i="3"/>
  <c r="P378" i="3"/>
  <c r="P377" i="3"/>
  <c r="E376" i="3"/>
  <c r="E373" i="3"/>
  <c r="D373" i="3"/>
  <c r="P372" i="3"/>
  <c r="P371" i="3"/>
  <c r="E370" i="3"/>
  <c r="D370" i="3"/>
  <c r="P369" i="3"/>
  <c r="P367" i="3"/>
  <c r="P365" i="3"/>
  <c r="P364" i="3"/>
  <c r="E363" i="3"/>
  <c r="P362" i="3"/>
  <c r="P360" i="3"/>
  <c r="P358" i="3"/>
  <c r="P357" i="3"/>
  <c r="P356" i="3"/>
  <c r="P355" i="3"/>
  <c r="P354" i="3"/>
  <c r="D434" i="3"/>
  <c r="P431" i="3"/>
  <c r="G26" i="25"/>
  <c r="F26" i="25"/>
  <c r="P421" i="3"/>
  <c r="G14" i="25"/>
  <c r="F14" i="25"/>
  <c r="P454" i="3"/>
  <c r="P455" i="3"/>
  <c r="P456" i="3"/>
  <c r="P457" i="3"/>
  <c r="P458" i="3"/>
  <c r="P459" i="3"/>
  <c r="P460" i="3"/>
  <c r="P461" i="3"/>
  <c r="P462" i="3"/>
  <c r="P463" i="3"/>
  <c r="P464" i="3"/>
  <c r="P466" i="3"/>
  <c r="P467" i="3"/>
  <c r="P468" i="3"/>
  <c r="P470" i="3"/>
  <c r="P471" i="3"/>
  <c r="P473" i="3"/>
  <c r="P474" i="3"/>
  <c r="P476" i="3"/>
  <c r="P477" i="3"/>
  <c r="P482" i="3"/>
  <c r="P483" i="3"/>
  <c r="P484" i="3"/>
  <c r="P487" i="3"/>
  <c r="P488" i="3"/>
  <c r="P489" i="3"/>
  <c r="P492" i="3"/>
  <c r="P493" i="3"/>
  <c r="P439" i="3"/>
  <c r="E491" i="3"/>
  <c r="D491" i="3"/>
  <c r="E481" i="3"/>
  <c r="D481" i="3"/>
  <c r="E486" i="3"/>
  <c r="D486" i="3"/>
  <c r="E478" i="3"/>
  <c r="D478" i="3"/>
  <c r="E475" i="3"/>
  <c r="D475" i="3"/>
  <c r="E472" i="3"/>
  <c r="D472" i="3"/>
  <c r="E469" i="3"/>
  <c r="D469" i="3"/>
  <c r="E465" i="3"/>
  <c r="D465" i="3"/>
  <c r="P441" i="3"/>
  <c r="P429" i="3"/>
  <c r="P428" i="3"/>
  <c r="P450" i="3"/>
  <c r="P449" i="3"/>
  <c r="D448" i="3"/>
  <c r="P440" i="3"/>
  <c r="P438" i="3"/>
  <c r="D437" i="3"/>
  <c r="P446" i="3"/>
  <c r="P445" i="3"/>
  <c r="P444" i="3"/>
  <c r="D443" i="3"/>
  <c r="P433" i="3"/>
  <c r="P432" i="3"/>
  <c r="D430" i="3"/>
  <c r="D427" i="3"/>
  <c r="P426" i="3"/>
  <c r="P425" i="3"/>
  <c r="D424" i="3"/>
  <c r="P423" i="3"/>
  <c r="P422" i="3"/>
  <c r="P420" i="3"/>
  <c r="D419" i="3"/>
  <c r="P418" i="3"/>
  <c r="P416" i="3"/>
  <c r="P414" i="3"/>
  <c r="P413" i="3"/>
  <c r="P412" i="3"/>
  <c r="P411" i="3"/>
  <c r="P410" i="3"/>
  <c r="G44" i="25"/>
  <c r="F44" i="25"/>
  <c r="E508" i="3"/>
  <c r="E513" i="3"/>
  <c r="E516" i="3"/>
  <c r="E519" i="3"/>
  <c r="E522" i="3"/>
  <c r="E525" i="3"/>
  <c r="E529" i="3"/>
  <c r="E534" i="3"/>
  <c r="E538" i="3"/>
  <c r="F9" i="25"/>
  <c r="P540" i="3"/>
  <c r="P539" i="3"/>
  <c r="D538" i="3"/>
  <c r="P536" i="3"/>
  <c r="P535" i="3"/>
  <c r="D534" i="3"/>
  <c r="P532" i="3"/>
  <c r="P531" i="3"/>
  <c r="P530" i="3"/>
  <c r="D529" i="3"/>
  <c r="P527" i="3"/>
  <c r="P526" i="3"/>
  <c r="D525" i="3"/>
  <c r="D522" i="3"/>
  <c r="P521" i="3"/>
  <c r="P520" i="3"/>
  <c r="D519" i="3"/>
  <c r="P518" i="3"/>
  <c r="P517" i="3"/>
  <c r="D516" i="3"/>
  <c r="P515" i="3"/>
  <c r="P514" i="3"/>
  <c r="D513" i="3"/>
  <c r="P512" i="3"/>
  <c r="P511" i="3"/>
  <c r="P510" i="3"/>
  <c r="P509" i="3"/>
  <c r="D508" i="3"/>
  <c r="P507" i="3"/>
  <c r="P506" i="3"/>
  <c r="P505" i="3"/>
  <c r="P504" i="3"/>
  <c r="P503" i="3"/>
  <c r="P502" i="3"/>
  <c r="P501" i="3"/>
  <c r="P500" i="3"/>
  <c r="P499" i="3"/>
  <c r="P498" i="3"/>
  <c r="P497" i="3"/>
  <c r="G27" i="25"/>
  <c r="F27" i="25"/>
  <c r="G31" i="25"/>
  <c r="F31" i="25"/>
  <c r="G43" i="25"/>
  <c r="F43" i="25"/>
  <c r="G24" i="25"/>
  <c r="F24" i="25"/>
  <c r="G23" i="25"/>
  <c r="F23" i="25"/>
  <c r="G21" i="25"/>
  <c r="F21" i="25"/>
  <c r="G18" i="25"/>
  <c r="F18" i="25"/>
  <c r="G17" i="25"/>
  <c r="F17" i="25"/>
  <c r="F6" i="25"/>
  <c r="G5" i="25"/>
  <c r="F5" i="25"/>
  <c r="H6" i="1"/>
  <c r="I5" i="1"/>
  <c r="I4" i="1"/>
  <c r="J4" i="1" s="1"/>
  <c r="E4" i="1"/>
  <c r="F7" i="25"/>
  <c r="H40" i="25"/>
  <c r="K27" i="25"/>
  <c r="K23" i="25"/>
  <c r="K7" i="25"/>
  <c r="K17" i="25"/>
  <c r="K13" i="25"/>
  <c r="K19" i="25"/>
  <c r="K25" i="25"/>
  <c r="K28" i="25"/>
  <c r="K6" i="25"/>
  <c r="K21" i="25"/>
  <c r="K16" i="25"/>
  <c r="K5" i="25"/>
  <c r="K18" i="25"/>
  <c r="K9" i="25"/>
  <c r="K31" i="25"/>
  <c r="K14" i="25"/>
  <c r="K24" i="25"/>
  <c r="K26" i="25"/>
  <c r="K46" i="25"/>
  <c r="K56" i="25"/>
  <c r="K51" i="25"/>
  <c r="K45" i="25"/>
  <c r="K44" i="25"/>
  <c r="K42" i="25"/>
  <c r="K59" i="25"/>
  <c r="K43" i="25"/>
  <c r="K55" i="25"/>
  <c r="F22" i="25"/>
  <c r="G25" i="25"/>
  <c r="F25" i="25"/>
  <c r="P430" i="3"/>
  <c r="F49" i="25"/>
  <c r="G49" i="25"/>
  <c r="F41" i="25"/>
  <c r="K29" i="25"/>
  <c r="K41" i="25"/>
  <c r="F36" i="25"/>
  <c r="P415" i="3"/>
  <c r="F58" i="25"/>
  <c r="G36" i="25"/>
  <c r="F61" i="25"/>
  <c r="G61" i="25"/>
  <c r="F10" i="25"/>
  <c r="F8" i="1"/>
  <c r="K22" i="25"/>
  <c r="G33" i="25"/>
  <c r="P245" i="3"/>
  <c r="P246" i="3" s="1"/>
  <c r="F19" i="25"/>
  <c r="G19" i="25"/>
  <c r="P151" i="3" l="1"/>
  <c r="E32" i="2"/>
  <c r="D32" i="2"/>
  <c r="P287" i="3"/>
  <c r="P251" i="3"/>
  <c r="O315" i="3"/>
  <c r="O323" i="3" s="1"/>
  <c r="P315" i="3"/>
  <c r="D376" i="3"/>
  <c r="D249" i="3"/>
  <c r="D256" i="3" s="1"/>
  <c r="F249" i="3"/>
  <c r="G249" i="3"/>
  <c r="G256" i="3" s="1"/>
  <c r="F419" i="3"/>
  <c r="H249" i="3"/>
  <c r="H256" i="3" s="1"/>
  <c r="E249" i="3"/>
  <c r="E256" i="3" s="1"/>
  <c r="P427" i="3"/>
  <c r="P396" i="3"/>
  <c r="P282" i="3"/>
  <c r="P348" i="3"/>
  <c r="P273" i="3"/>
  <c r="H187" i="3"/>
  <c r="L256" i="3"/>
  <c r="D479" i="3"/>
  <c r="P491" i="3"/>
  <c r="F236" i="3"/>
  <c r="F256" i="3" s="1"/>
  <c r="P434" i="3"/>
  <c r="P448" i="3"/>
  <c r="P404" i="3"/>
  <c r="I249" i="3"/>
  <c r="I256" i="3" s="1"/>
  <c r="P522" i="3"/>
  <c r="P486" i="3"/>
  <c r="P380" i="3"/>
  <c r="K381" i="3"/>
  <c r="L323" i="3"/>
  <c r="G187" i="3"/>
  <c r="P163" i="3"/>
  <c r="N435" i="3"/>
  <c r="M381" i="3"/>
  <c r="P248" i="3"/>
  <c r="P534" i="3"/>
  <c r="F479" i="3"/>
  <c r="P344" i="3"/>
  <c r="O256" i="3"/>
  <c r="P525" i="3"/>
  <c r="I323" i="3"/>
  <c r="J273" i="3"/>
  <c r="P538" i="3"/>
  <c r="P339" i="3"/>
  <c r="P325" i="3"/>
  <c r="P529" i="3"/>
  <c r="D435" i="3"/>
  <c r="P437" i="3"/>
  <c r="P370" i="3"/>
  <c r="P267" i="3"/>
  <c r="M187" i="3"/>
  <c r="E187" i="3"/>
  <c r="P376" i="3"/>
  <c r="J256" i="3"/>
  <c r="D187" i="3"/>
  <c r="D523" i="3"/>
  <c r="I435" i="3"/>
  <c r="O381" i="3"/>
  <c r="L381" i="3"/>
  <c r="P217" i="3"/>
  <c r="P199" i="3"/>
  <c r="P189" i="3"/>
  <c r="K187" i="3"/>
  <c r="J323" i="3"/>
  <c r="L187" i="3"/>
  <c r="L523" i="3"/>
  <c r="M435" i="3"/>
  <c r="O435" i="3"/>
  <c r="L435" i="3"/>
  <c r="P238" i="3"/>
  <c r="P243" i="3" s="1"/>
  <c r="P516" i="3"/>
  <c r="P363" i="3"/>
  <c r="K323" i="3"/>
  <c r="H523" i="3"/>
  <c r="D363" i="3"/>
  <c r="G323" i="3"/>
  <c r="J523" i="3"/>
  <c r="I381" i="3"/>
  <c r="P179" i="3"/>
  <c r="P229" i="3"/>
  <c r="P236" i="3" s="1"/>
  <c r="P481" i="3"/>
  <c r="E381" i="3"/>
  <c r="P373" i="3"/>
  <c r="P305" i="3"/>
  <c r="P312" i="3"/>
  <c r="P322" i="3"/>
  <c r="F381" i="3"/>
  <c r="P383" i="3"/>
  <c r="M256" i="3"/>
  <c r="J435" i="3"/>
  <c r="H381" i="3"/>
  <c r="H323" i="3"/>
  <c r="O523" i="3"/>
  <c r="K435" i="3"/>
  <c r="J187" i="3"/>
  <c r="P176" i="3"/>
  <c r="P172" i="3"/>
  <c r="P465" i="3"/>
  <c r="F435" i="3"/>
  <c r="P247" i="3"/>
  <c r="H435" i="3"/>
  <c r="N523" i="3"/>
  <c r="P258" i="3"/>
  <c r="P222" i="3"/>
  <c r="P194" i="3"/>
  <c r="P186" i="3"/>
  <c r="O187" i="3"/>
  <c r="P424" i="3"/>
  <c r="P472" i="3"/>
  <c r="D323" i="3"/>
  <c r="N256" i="3"/>
  <c r="G479" i="3"/>
  <c r="G435" i="3"/>
  <c r="G381" i="3"/>
  <c r="I479" i="3"/>
  <c r="M323" i="3"/>
  <c r="K256" i="3"/>
  <c r="P508" i="3"/>
  <c r="P475" i="3"/>
  <c r="P392" i="3"/>
  <c r="E435" i="3"/>
  <c r="P400" i="3"/>
  <c r="P318" i="3"/>
  <c r="P335" i="3"/>
  <c r="F187" i="3"/>
  <c r="P469" i="3"/>
  <c r="E523" i="3"/>
  <c r="P329" i="3"/>
  <c r="J381" i="3"/>
  <c r="K523" i="3"/>
  <c r="P213" i="3"/>
  <c r="P209" i="3"/>
  <c r="P203" i="3"/>
  <c r="N187" i="3"/>
  <c r="P255" i="3"/>
  <c r="P419" i="3"/>
  <c r="P443" i="3"/>
  <c r="P478" i="3"/>
  <c r="F523" i="3"/>
  <c r="P387" i="3"/>
  <c r="P291" i="3"/>
  <c r="F323" i="3"/>
  <c r="I523" i="3"/>
  <c r="H479" i="3"/>
  <c r="M523" i="3"/>
  <c r="N381" i="3"/>
  <c r="N323" i="3"/>
  <c r="I179" i="3"/>
  <c r="I187" i="3" s="1"/>
  <c r="P513" i="3"/>
  <c r="P519" i="3"/>
  <c r="E323" i="3"/>
  <c r="P263" i="3"/>
  <c r="P277" i="3"/>
  <c r="G523" i="3"/>
  <c r="E479" i="3"/>
  <c r="D381" i="3" l="1"/>
  <c r="P435" i="3"/>
  <c r="P249" i="3"/>
  <c r="P256" i="3" s="1"/>
  <c r="P187" i="3"/>
  <c r="P479" i="3"/>
  <c r="P323" i="3"/>
  <c r="P381" i="3"/>
  <c r="P523" i="3"/>
  <c r="G32" i="25"/>
  <c r="F32" i="25"/>
  <c r="K10" i="25"/>
  <c r="K33" i="25"/>
  <c r="K32" i="25"/>
  <c r="J36" i="25" l="1"/>
  <c r="K36" i="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HMC</author>
  </authors>
  <commentList>
    <comment ref="G611" authorId="0" shapeId="0" xr:uid="{72D0EEF1-D7ED-47D9-AD26-40FAF82D4504}">
      <text>
        <r>
          <rPr>
            <sz val="7"/>
            <color indexed="81"/>
            <rFont val="굴림"/>
            <family val="3"/>
            <charset val="129"/>
          </rPr>
          <t>아반떼쿠페 35대 포함</t>
        </r>
      </text>
    </comment>
    <comment ref="H611" authorId="0" shapeId="0" xr:uid="{A7375642-D444-40C0-BBB6-8E1E5EC5CF6F}">
      <text>
        <r>
          <rPr>
            <sz val="7"/>
            <color indexed="81"/>
            <rFont val="굴림"/>
            <family val="3"/>
            <charset val="129"/>
          </rPr>
          <t>쿠페 95대 포함</t>
        </r>
      </text>
    </comment>
  </commentList>
</comments>
</file>

<file path=xl/sharedStrings.xml><?xml version="1.0" encoding="utf-8"?>
<sst xmlns="http://schemas.openxmlformats.org/spreadsheetml/2006/main" count="989" uniqueCount="234">
  <si>
    <t>계</t>
    <phoneticPr fontId="2" type="noConversion"/>
  </si>
  <si>
    <t>차    종</t>
    <phoneticPr fontId="2" type="noConversion"/>
  </si>
  <si>
    <t>총      계</t>
    <phoneticPr fontId="2" type="noConversion"/>
  </si>
  <si>
    <t>i30</t>
    <phoneticPr fontId="2" type="noConversion"/>
  </si>
  <si>
    <t>제네시스</t>
    <phoneticPr fontId="2" type="noConversion"/>
  </si>
  <si>
    <t>제네시스쿠페</t>
    <phoneticPr fontId="2" type="noConversion"/>
  </si>
  <si>
    <t>에쿠스</t>
    <phoneticPr fontId="2" type="noConversion"/>
  </si>
  <si>
    <t>투싼ix</t>
    <phoneticPr fontId="2" type="noConversion"/>
  </si>
  <si>
    <t>싼타페</t>
    <phoneticPr fontId="2" type="noConversion"/>
  </si>
  <si>
    <t>소상</t>
    <phoneticPr fontId="2" type="noConversion"/>
  </si>
  <si>
    <t>대형</t>
    <phoneticPr fontId="2" type="noConversion"/>
  </si>
  <si>
    <t>스타렉스</t>
    <phoneticPr fontId="2" type="noConversion"/>
  </si>
  <si>
    <t>포터</t>
    <phoneticPr fontId="2" type="noConversion"/>
  </si>
  <si>
    <t>버스</t>
    <phoneticPr fontId="2" type="noConversion"/>
  </si>
  <si>
    <t>트럭</t>
    <phoneticPr fontId="2" type="noConversion"/>
  </si>
  <si>
    <t>해외</t>
    <phoneticPr fontId="2" type="noConversion"/>
  </si>
  <si>
    <t>국내</t>
    <phoneticPr fontId="2" type="noConversion"/>
  </si>
  <si>
    <t xml:space="preserve">              </t>
  </si>
  <si>
    <t>차종</t>
  </si>
  <si>
    <t>스타렉스</t>
  </si>
  <si>
    <t>포터</t>
  </si>
  <si>
    <t>엑센트</t>
    <phoneticPr fontId="2" type="noConversion"/>
  </si>
  <si>
    <t>벨로스터</t>
    <phoneticPr fontId="2" type="noConversion"/>
  </si>
  <si>
    <t>하이브리드</t>
    <phoneticPr fontId="2" type="noConversion"/>
  </si>
  <si>
    <t>아반떼</t>
    <phoneticPr fontId="2" type="noConversion"/>
  </si>
  <si>
    <t>쏘나타</t>
    <phoneticPr fontId="2" type="noConversion"/>
  </si>
  <si>
    <t>YF</t>
    <phoneticPr fontId="2" type="noConversion"/>
  </si>
  <si>
    <t>그랜저</t>
    <phoneticPr fontId="2" type="noConversion"/>
  </si>
  <si>
    <t>MD</t>
    <phoneticPr fontId="2" type="noConversion"/>
  </si>
  <si>
    <t>전월대비
(%)</t>
    <phoneticPr fontId="38" type="noConversion"/>
  </si>
  <si>
    <t>전년
누계대비
(%)</t>
    <phoneticPr fontId="38" type="noConversion"/>
  </si>
  <si>
    <t>벨로스터</t>
    <phoneticPr fontId="38" type="noConversion"/>
  </si>
  <si>
    <t>RV 계</t>
    <phoneticPr fontId="38" type="noConversion"/>
  </si>
  <si>
    <t>소상 계</t>
    <phoneticPr fontId="38" type="noConversion"/>
  </si>
  <si>
    <t>버스</t>
    <phoneticPr fontId="38" type="noConversion"/>
  </si>
  <si>
    <t>대형 계</t>
    <phoneticPr fontId="38" type="noConversion"/>
  </si>
  <si>
    <t>국내 판매 계</t>
    <phoneticPr fontId="38" type="noConversion"/>
  </si>
  <si>
    <t>해외 판매 계</t>
    <phoneticPr fontId="2" type="noConversion"/>
  </si>
  <si>
    <t>완성차 계</t>
    <phoneticPr fontId="38" type="noConversion"/>
  </si>
  <si>
    <t>구  분</t>
    <phoneticPr fontId="2" type="noConversion"/>
  </si>
  <si>
    <t>전년동월
대비 (%)</t>
    <phoneticPr fontId="2" type="noConversion"/>
  </si>
  <si>
    <t>전월
대비 (%)</t>
    <phoneticPr fontId="2" type="noConversion"/>
  </si>
  <si>
    <t>전년누계
대비 (%)</t>
    <phoneticPr fontId="2" type="noConversion"/>
  </si>
  <si>
    <t>i40</t>
    <phoneticPr fontId="2" type="noConversion"/>
  </si>
  <si>
    <t>RV</t>
    <phoneticPr fontId="2" type="noConversion"/>
  </si>
  <si>
    <t>승용</t>
    <phoneticPr fontId="2" type="noConversion"/>
  </si>
  <si>
    <t>전년동월
대비</t>
    <phoneticPr fontId="2" type="noConversion"/>
  </si>
  <si>
    <t>전월
대비</t>
    <phoneticPr fontId="2" type="noConversion"/>
  </si>
  <si>
    <t>국내</t>
    <phoneticPr fontId="2" type="noConversion"/>
  </si>
  <si>
    <t>계</t>
    <phoneticPr fontId="2" type="noConversion"/>
  </si>
  <si>
    <t>맥스크루즈</t>
    <phoneticPr fontId="2" type="noConversion"/>
  </si>
  <si>
    <t>HG</t>
    <phoneticPr fontId="2" type="noConversion"/>
  </si>
  <si>
    <t>LF</t>
    <phoneticPr fontId="2" type="noConversion"/>
  </si>
  <si>
    <t>-</t>
    <phoneticPr fontId="2" type="noConversion"/>
  </si>
  <si>
    <t>베라크루즈</t>
    <phoneticPr fontId="2" type="noConversion"/>
  </si>
  <si>
    <t>아슬란</t>
    <phoneticPr fontId="2" type="noConversion"/>
  </si>
  <si>
    <t>LF 하이브리드</t>
    <phoneticPr fontId="2" type="noConversion"/>
  </si>
  <si>
    <t>※ 2015년</t>
    <phoneticPr fontId="2" type="noConversion"/>
  </si>
  <si>
    <t>전년
동월대비
(%)</t>
    <phoneticPr fontId="2" type="noConversion"/>
  </si>
  <si>
    <t>투싼</t>
    <phoneticPr fontId="2" type="noConversion"/>
  </si>
  <si>
    <t>신형 투싼</t>
    <phoneticPr fontId="2" type="noConversion"/>
  </si>
  <si>
    <t>AD</t>
    <phoneticPr fontId="2" type="noConversion"/>
  </si>
  <si>
    <t>·</t>
    <phoneticPr fontId="2" type="noConversion"/>
  </si>
  <si>
    <t>제네시스 계</t>
    <phoneticPr fontId="38" type="noConversion"/>
  </si>
  <si>
    <t>EQ900</t>
    <phoneticPr fontId="2" type="noConversion"/>
  </si>
  <si>
    <t>DH제네시스</t>
    <phoneticPr fontId="2" type="noConversion"/>
  </si>
  <si>
    <t>2016년</t>
    <phoneticPr fontId="2" type="noConversion"/>
  </si>
  <si>
    <t>※ 2016년</t>
    <phoneticPr fontId="2" type="noConversion"/>
  </si>
  <si>
    <t>아이오닉</t>
    <phoneticPr fontId="2" type="noConversion"/>
  </si>
  <si>
    <t>2월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</si>
  <si>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</si>
  <si>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</si>
  <si>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</si>
  <si>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아이오닉</t>
    <phoneticPr fontId="2" type="noConversion"/>
  </si>
  <si>
    <t>전기차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</si>
  <si>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</si>
  <si>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</si>
  <si>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</si>
  <si>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</si>
  <si>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IG</t>
    <phoneticPr fontId="2" type="noConversion"/>
  </si>
  <si>
    <t>11월</t>
    <phoneticPr fontId="2" type="noConversion"/>
  </si>
  <si>
    <t>12월</t>
    <phoneticPr fontId="2" type="noConversion"/>
  </si>
  <si>
    <t>2017년</t>
    <phoneticPr fontId="2" type="noConversion"/>
  </si>
  <si>
    <t>※ 2017년</t>
    <phoneticPr fontId="2" type="noConversion"/>
  </si>
  <si>
    <t>하이브리드(HG)</t>
    <phoneticPr fontId="2" type="noConversion"/>
  </si>
  <si>
    <t>하이브리드(IG)</t>
    <phoneticPr fontId="2" type="noConversion"/>
  </si>
  <si>
    <t>차    종</t>
  </si>
  <si>
    <t>계</t>
  </si>
  <si>
    <t>승용</t>
  </si>
  <si>
    <t>엑센트</t>
  </si>
  <si>
    <t>벨로스터</t>
  </si>
  <si>
    <t>아반떼</t>
  </si>
  <si>
    <t>아이오닉</t>
  </si>
  <si>
    <t>i30</t>
  </si>
  <si>
    <t>쏘나타</t>
  </si>
  <si>
    <t>i40</t>
  </si>
  <si>
    <t>그랜저</t>
  </si>
  <si>
    <t>아슬란</t>
  </si>
  <si>
    <t>제네시스쿠페</t>
  </si>
  <si>
    <t>에쿠스</t>
  </si>
  <si>
    <t>RV</t>
  </si>
  <si>
    <t>투싼</t>
  </si>
  <si>
    <t>싼타페</t>
  </si>
  <si>
    <t>맥스크루즈</t>
  </si>
  <si>
    <t>소상</t>
  </si>
  <si>
    <t>대형</t>
  </si>
  <si>
    <t>버스</t>
  </si>
  <si>
    <t>트럭</t>
  </si>
  <si>
    <t>제네시스</t>
  </si>
  <si>
    <t>G80/제네시스</t>
  </si>
  <si>
    <t>EQ900</t>
  </si>
  <si>
    <t>총      계</t>
  </si>
  <si>
    <t>전년누계
대비</t>
    <phoneticPr fontId="2" type="noConversion"/>
  </si>
  <si>
    <t>코나</t>
    <phoneticPr fontId="2" type="noConversion"/>
  </si>
  <si>
    <t>코나</t>
    <phoneticPr fontId="2" type="noConversion"/>
  </si>
  <si>
    <t>G70</t>
    <phoneticPr fontId="2" type="noConversion"/>
  </si>
  <si>
    <t>G70</t>
    <phoneticPr fontId="2" type="noConversion"/>
  </si>
  <si>
    <t>G80</t>
    <phoneticPr fontId="2" type="noConversion"/>
  </si>
  <si>
    <t>해외</t>
    <phoneticPr fontId="2" type="noConversion"/>
  </si>
  <si>
    <t>2018년</t>
    <phoneticPr fontId="2" type="noConversion"/>
  </si>
  <si>
    <t>※ 2018년</t>
    <phoneticPr fontId="2" type="noConversion"/>
  </si>
  <si>
    <t>싼타페</t>
    <phoneticPr fontId="2" type="noConversion"/>
  </si>
  <si>
    <t>DM</t>
    <phoneticPr fontId="2" type="noConversion"/>
  </si>
  <si>
    <t>TM</t>
    <phoneticPr fontId="2" type="noConversion"/>
  </si>
  <si>
    <t>넥쏘</t>
    <phoneticPr fontId="2" type="noConversion"/>
  </si>
  <si>
    <t>넥쏘</t>
    <phoneticPr fontId="2" type="noConversion"/>
  </si>
  <si>
    <t>승용 계</t>
    <phoneticPr fontId="38" type="noConversion"/>
  </si>
  <si>
    <t>코나</t>
    <phoneticPr fontId="2" type="noConversion"/>
  </si>
  <si>
    <t>OS</t>
    <phoneticPr fontId="2" type="noConversion"/>
  </si>
  <si>
    <t>G90/EQ900</t>
    <phoneticPr fontId="2" type="noConversion"/>
  </si>
  <si>
    <t>EQ900</t>
    <phoneticPr fontId="2" type="noConversion"/>
  </si>
  <si>
    <t>G90</t>
    <phoneticPr fontId="2" type="noConversion"/>
  </si>
  <si>
    <t>G90/EQ900</t>
    <phoneticPr fontId="2" type="noConversion"/>
  </si>
  <si>
    <t>팰리세이드</t>
    <phoneticPr fontId="2" type="noConversion"/>
  </si>
  <si>
    <t>팰리세이드</t>
    <phoneticPr fontId="2" type="noConversion"/>
  </si>
  <si>
    <t>※ 2019년</t>
    <phoneticPr fontId="2" type="noConversion"/>
  </si>
  <si>
    <t>DN8</t>
    <phoneticPr fontId="2" type="noConversion"/>
  </si>
  <si>
    <t>베뉴</t>
    <phoneticPr fontId="2" type="noConversion"/>
  </si>
  <si>
    <t>베뉴</t>
    <phoneticPr fontId="2" type="noConversion"/>
  </si>
  <si>
    <t>DN8 HEV</t>
    <phoneticPr fontId="2" type="noConversion"/>
  </si>
  <si>
    <t>IG HEV</t>
    <phoneticPr fontId="2" type="noConversion"/>
  </si>
  <si>
    <t>LF HEV</t>
    <phoneticPr fontId="2" type="noConversion"/>
  </si>
  <si>
    <t>HEV</t>
    <phoneticPr fontId="2" type="noConversion"/>
  </si>
  <si>
    <t>EV</t>
    <phoneticPr fontId="2" type="noConversion"/>
  </si>
  <si>
    <t>EV</t>
    <phoneticPr fontId="2" type="noConversion"/>
  </si>
  <si>
    <t>포터</t>
    <phoneticPr fontId="2" type="noConversion"/>
  </si>
  <si>
    <t>2020년</t>
    <phoneticPr fontId="2" type="noConversion"/>
  </si>
  <si>
    <t>※ 2020년</t>
    <phoneticPr fontId="2" type="noConversion"/>
  </si>
  <si>
    <t>GV80</t>
    <phoneticPr fontId="2" type="noConversion"/>
  </si>
  <si>
    <t>GV80</t>
    <phoneticPr fontId="2" type="noConversion"/>
  </si>
  <si>
    <t>DH</t>
    <phoneticPr fontId="2" type="noConversion"/>
  </si>
  <si>
    <t>RG3</t>
    <phoneticPr fontId="2" type="noConversion"/>
  </si>
  <si>
    <t>AD</t>
    <phoneticPr fontId="2" type="noConversion"/>
  </si>
  <si>
    <t>CN7</t>
    <phoneticPr fontId="2" type="noConversion"/>
  </si>
  <si>
    <t>CN7 HEV</t>
    <phoneticPr fontId="2" type="noConversion"/>
  </si>
  <si>
    <t>TL</t>
    <phoneticPr fontId="2" type="noConversion"/>
  </si>
  <si>
    <t>NX4</t>
    <phoneticPr fontId="2" type="noConversion"/>
  </si>
  <si>
    <t>NX4 HEV</t>
    <phoneticPr fontId="2" type="noConversion"/>
  </si>
  <si>
    <t>수소전기차</t>
    <phoneticPr fontId="2" type="noConversion"/>
  </si>
  <si>
    <t>친환경차 합계</t>
    <phoneticPr fontId="2" type="noConversion"/>
  </si>
  <si>
    <t>※ 국내 친환경차 판매(하이브리드 / 전기차 / 수소전기차)</t>
    <phoneticPr fontId="2" type="noConversion"/>
  </si>
  <si>
    <t>GV70</t>
    <phoneticPr fontId="2" type="noConversion"/>
  </si>
  <si>
    <t>GV70</t>
    <phoneticPr fontId="2" type="noConversion"/>
  </si>
  <si>
    <t>※ 2021년</t>
    <phoneticPr fontId="2" type="noConversion"/>
  </si>
  <si>
    <t>2021년</t>
    <phoneticPr fontId="2" type="noConversion"/>
  </si>
  <si>
    <t>2월</t>
    <phoneticPr fontId="2" type="noConversion"/>
  </si>
  <si>
    <t>구 분</t>
    <phoneticPr fontId="2" type="noConversion"/>
  </si>
  <si>
    <t>2019년</t>
    <phoneticPr fontId="2" type="noConversion"/>
  </si>
  <si>
    <t>3월</t>
    <phoneticPr fontId="2" type="noConversion"/>
  </si>
  <si>
    <t>4월</t>
    <phoneticPr fontId="2" type="noConversion"/>
  </si>
  <si>
    <t>아이오닉 5</t>
    <phoneticPr fontId="2" type="noConversion"/>
  </si>
  <si>
    <t>스타리아</t>
    <phoneticPr fontId="2" type="noConversion"/>
  </si>
  <si>
    <t>아이오닉 5</t>
    <phoneticPr fontId="2" type="noConversion"/>
  </si>
  <si>
    <t>스타리아</t>
    <phoneticPr fontId="2" type="noConversion"/>
  </si>
  <si>
    <t>5월</t>
    <phoneticPr fontId="2" type="noConversion"/>
  </si>
  <si>
    <t>6월</t>
    <phoneticPr fontId="2" type="noConversion"/>
  </si>
  <si>
    <t>N</t>
    <phoneticPr fontId="2" type="noConversion"/>
  </si>
  <si>
    <t>7월</t>
    <phoneticPr fontId="2" type="noConversion"/>
  </si>
  <si>
    <t>G80</t>
    <phoneticPr fontId="2" type="noConversion"/>
  </si>
  <si>
    <t>산타페</t>
    <phoneticPr fontId="2" type="noConversion"/>
  </si>
  <si>
    <t>TM HEV</t>
    <phoneticPr fontId="2" type="noConversion"/>
  </si>
  <si>
    <t>8월</t>
    <phoneticPr fontId="2" type="noConversion"/>
  </si>
  <si>
    <t>9월</t>
    <phoneticPr fontId="2" type="noConversion"/>
  </si>
  <si>
    <t>캐스퍼</t>
    <phoneticPr fontId="2" type="noConversion"/>
  </si>
  <si>
    <t>캐스퍼</t>
    <phoneticPr fontId="2" type="noConversion"/>
  </si>
  <si>
    <t>10월</t>
    <phoneticPr fontId="2" type="noConversion"/>
  </si>
  <si>
    <t>GV60</t>
    <phoneticPr fontId="2" type="noConversion"/>
  </si>
  <si>
    <t>GV60</t>
    <phoneticPr fontId="2" type="noConversion"/>
  </si>
  <si>
    <t>11월</t>
    <phoneticPr fontId="2" type="noConversion"/>
  </si>
  <si>
    <t>12월</t>
    <phoneticPr fontId="2" type="noConversion"/>
  </si>
  <si>
    <t>※ 2022년</t>
    <phoneticPr fontId="2" type="noConversion"/>
  </si>
  <si>
    <t>2022년</t>
    <phoneticPr fontId="2" type="noConversion"/>
  </si>
  <si>
    <t>2022년</t>
    <phoneticPr fontId="2" type="noConversion"/>
  </si>
  <si>
    <t>JK</t>
    <phoneticPr fontId="2" type="noConversion"/>
  </si>
  <si>
    <t>RG3 EV</t>
    <phoneticPr fontId="2" type="noConversion"/>
  </si>
  <si>
    <t>JK EV</t>
    <phoneticPr fontId="2" type="noConversion"/>
  </si>
  <si>
    <t>HR</t>
    <phoneticPr fontId="2" type="noConversion"/>
  </si>
  <si>
    <t>HR EV</t>
    <phoneticPr fontId="2" type="noConversion"/>
  </si>
  <si>
    <t>※ 2014년</t>
    <phoneticPr fontId="2" type="noConversion"/>
  </si>
  <si>
    <t>NF</t>
    <phoneticPr fontId="2" type="noConversion"/>
  </si>
  <si>
    <t>YF 하이브리드</t>
    <phoneticPr fontId="2" type="noConversion"/>
  </si>
  <si>
    <t>※ 2013년</t>
    <phoneticPr fontId="2" type="noConversion"/>
  </si>
  <si>
    <t>※ 2012년</t>
    <phoneticPr fontId="2" type="noConversion"/>
  </si>
  <si>
    <t>※ 2011년</t>
    <phoneticPr fontId="2" type="noConversion"/>
  </si>
  <si>
    <t>승
용</t>
    <phoneticPr fontId="2" type="noConversion"/>
  </si>
  <si>
    <t>클릭</t>
    <phoneticPr fontId="2" type="noConversion"/>
  </si>
  <si>
    <t>베르나</t>
    <phoneticPr fontId="2" type="noConversion"/>
  </si>
  <si>
    <t>i40왜건</t>
    <phoneticPr fontId="2" type="noConversion"/>
  </si>
  <si>
    <t>i40살룬</t>
    <phoneticPr fontId="2" type="noConversion"/>
  </si>
  <si>
    <t>구형(CM)</t>
    <phoneticPr fontId="2" type="noConversion"/>
  </si>
  <si>
    <t>신형(DM)</t>
    <phoneticPr fontId="2" type="noConversion"/>
  </si>
  <si>
    <t>TG</t>
    <phoneticPr fontId="2" type="noConversion"/>
  </si>
  <si>
    <t>※ 2010년</t>
    <phoneticPr fontId="2" type="noConversion"/>
  </si>
  <si>
    <t>아반떼HD</t>
    <phoneticPr fontId="2" type="noConversion"/>
  </si>
  <si>
    <t>아반떼MD</t>
    <phoneticPr fontId="2" type="noConversion"/>
  </si>
  <si>
    <t>아반떼HEV</t>
    <phoneticPr fontId="2" type="noConversion"/>
  </si>
  <si>
    <t>쏘나타NF</t>
    <phoneticPr fontId="2" type="noConversion"/>
  </si>
  <si>
    <t>쏘나타YF</t>
    <phoneticPr fontId="2" type="noConversion"/>
  </si>
  <si>
    <t>※ 2009년</t>
    <phoneticPr fontId="2" type="noConversion"/>
  </si>
  <si>
    <t>아이오닉 6</t>
    <phoneticPr fontId="2" type="noConversion"/>
  </si>
  <si>
    <t>GN7</t>
    <phoneticPr fontId="2" type="noConversion"/>
  </si>
  <si>
    <t>GN7 HEV</t>
    <phoneticPr fontId="2" type="noConversion"/>
  </si>
  <si>
    <t>■ 현대차 2023년 1월 판매실적</t>
    <phoneticPr fontId="2" type="noConversion"/>
  </si>
  <si>
    <t>2023년</t>
    <phoneticPr fontId="2" type="noConversion"/>
  </si>
  <si>
    <t>'23년
1~1월</t>
    <phoneticPr fontId="2" type="noConversion"/>
  </si>
  <si>
    <t>'22년
1~1월</t>
    <phoneticPr fontId="2" type="noConversion"/>
  </si>
  <si>
    <t>1월</t>
    <phoneticPr fontId="2" type="noConversion"/>
  </si>
  <si>
    <t>■ 현대차 2023년 내수 월별 판매실적</t>
    <phoneticPr fontId="2" type="noConversion"/>
  </si>
  <si>
    <t>※ 2023년</t>
    <phoneticPr fontId="2" type="noConversion"/>
  </si>
  <si>
    <t>SX2</t>
    <phoneticPr fontId="2" type="noConversion"/>
  </si>
  <si>
    <t>SX2 HEV</t>
    <phoneticPr fontId="2" type="noConversion"/>
  </si>
  <si>
    <t>OS HEV</t>
    <phoneticPr fontId="2" type="noConversion"/>
  </si>
  <si>
    <t>OS N</t>
    <phoneticPr fontId="2" type="noConversion"/>
  </si>
  <si>
    <t>CN7 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</si>
</sst>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76" formatCode="0.0%"/>
    <numFmt numFmtId="177" formatCode="#,##0_ "/>
    <numFmt numFmtId="178" formatCode="#,##0_);[Red]\(#,##0\)"/>
    <numFmt numFmtId="179" formatCode="0&quot;월&quot;"/>
    <numFmt numFmtId="180" formatCode="&quot;1-&quot;0&quot;월&quot;"/>
    <numFmt numFmtId="181" formatCode="#&quot;년&quot;"/>
    <numFmt numFmtId="182" formatCode="####&quot;년&quot;"/>
    <numFmt numFmtId="183" formatCode="0&quot;년&quot;"/>
    <numFmt numFmtId="184" formatCode="&quot;■ 현대차 2010년 &quot;##&quot;월 판매실적&quot;"/>
  </numFmts>
  <fonts count="6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4"/>
      <name val="HY헤드라인M"/>
      <family val="1"/>
      <charset val="129"/>
    </font>
    <font>
      <sz val="9"/>
      <name val="돋움"/>
      <family val="3"/>
      <charset val="129"/>
    </font>
    <font>
      <b/>
      <sz val="9"/>
      <name val="돋움"/>
      <family val="3"/>
      <charset val="129"/>
    </font>
    <font>
      <sz val="10"/>
      <name val="HY헤드라인M"/>
      <family val="1"/>
      <charset val="129"/>
    </font>
    <font>
      <sz val="7.5"/>
      <name val="돋움"/>
      <family val="3"/>
      <charset val="129"/>
    </font>
    <font>
      <sz val="11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20"/>
      <name val="HY헤드라인M"/>
      <family val="1"/>
      <charset val="129"/>
    </font>
    <font>
      <sz val="12"/>
      <name val="HY헤드라인M"/>
      <family val="1"/>
      <charset val="129"/>
    </font>
    <font>
      <sz val="12"/>
      <name val="Times New Roman"/>
      <family val="1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sz val="11"/>
      <name val="Times New Roman"/>
      <family val="1"/>
    </font>
    <font>
      <sz val="9"/>
      <name val="새굴림"/>
      <family val="1"/>
      <charset val="129"/>
    </font>
    <font>
      <sz val="10"/>
      <name val="굴림"/>
      <family val="3"/>
      <charset val="129"/>
    </font>
    <font>
      <sz val="10"/>
      <name val="Arial"/>
      <family val="2"/>
    </font>
    <font>
      <sz val="11"/>
      <name val="Arial"/>
      <family val="2"/>
    </font>
    <font>
      <sz val="11"/>
      <name val="HY헤드라인M"/>
      <family val="1"/>
      <charset val="129"/>
    </font>
    <font>
      <sz val="12"/>
      <name val="굴림"/>
      <family val="3"/>
      <charset val="129"/>
    </font>
    <font>
      <sz val="8"/>
      <name val="굴림"/>
      <family val="3"/>
      <charset val="129"/>
    </font>
    <font>
      <sz val="8"/>
      <color indexed="10"/>
      <name val="돋움"/>
      <family val="3"/>
      <charset val="129"/>
    </font>
    <font>
      <sz val="9"/>
      <name val="Times New Roman"/>
      <family val="1"/>
    </font>
    <font>
      <sz val="11"/>
      <name val="바탕"/>
      <family val="1"/>
      <charset val="129"/>
    </font>
    <font>
      <sz val="7.5"/>
      <name val="HY헤드라인M"/>
      <family val="1"/>
      <charset val="129"/>
    </font>
    <font>
      <b/>
      <sz val="8"/>
      <name val="돋움"/>
      <family val="3"/>
      <charset val="129"/>
    </font>
    <font>
      <sz val="9"/>
      <name val="굴림"/>
      <family val="3"/>
      <charset val="129"/>
    </font>
    <font>
      <sz val="12"/>
      <name val="바탕"/>
      <family val="1"/>
      <charset val="129"/>
    </font>
    <font>
      <sz val="5"/>
      <name val="돋움"/>
      <family val="3"/>
      <charset val="129"/>
    </font>
    <font>
      <sz val="6"/>
      <name val="돋움"/>
      <family val="3"/>
      <charset val="129"/>
    </font>
    <font>
      <b/>
      <sz val="12"/>
      <name val="가는각진제목체"/>
      <family val="1"/>
      <charset val="129"/>
    </font>
    <font>
      <sz val="12"/>
      <name val="가는각진제목체"/>
      <family val="1"/>
      <charset val="129"/>
    </font>
    <font>
      <sz val="8"/>
      <name val="Times New Roman"/>
      <family val="1"/>
    </font>
    <font>
      <sz val="9"/>
      <name val="HY헤드라인M"/>
      <family val="1"/>
      <charset val="129"/>
    </font>
    <font>
      <sz val="8"/>
      <name val="HY헤드라인M"/>
      <family val="1"/>
      <charset val="129"/>
    </font>
    <font>
      <sz val="7"/>
      <name val="HY헤드라인M"/>
      <family val="1"/>
      <charset val="129"/>
    </font>
    <font>
      <b/>
      <sz val="10"/>
      <name val="Arial"/>
      <family val="2"/>
    </font>
    <font>
      <i/>
      <sz val="9"/>
      <name val="HY헤드라인M"/>
      <family val="1"/>
      <charset val="129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name val="HY헤드라인M"/>
      <family val="1"/>
      <charset val="129"/>
    </font>
    <font>
      <b/>
      <sz val="11"/>
      <name val="Arial"/>
      <family val="2"/>
    </font>
    <font>
      <sz val="11"/>
      <color theme="1"/>
      <name val="기아 Medium"/>
      <family val="3"/>
      <charset val="129"/>
    </font>
    <font>
      <b/>
      <sz val="10"/>
      <color theme="1"/>
      <name val="Arial"/>
      <family val="2"/>
    </font>
    <font>
      <sz val="11"/>
      <color rgb="FFFF0000"/>
      <name val="굴림"/>
      <family val="3"/>
      <charset val="129"/>
    </font>
    <font>
      <sz val="7"/>
      <color indexed="81"/>
      <name val="굴림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</borders>
  <cellStyleXfs count="47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7" borderId="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60" fillId="0" borderId="0">
      <alignment vertical="center"/>
    </xf>
    <xf numFmtId="0" fontId="1" fillId="0" borderId="0"/>
  </cellStyleXfs>
  <cellXfs count="4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182" fontId="4" fillId="0" borderId="10" xfId="0" applyNumberFormat="1" applyFont="1" applyBorder="1" applyAlignment="1">
      <alignment horizontal="center"/>
    </xf>
    <xf numFmtId="49" fontId="0" fillId="0" borderId="0" xfId="0" applyNumberFormat="1" applyBorder="1">
      <alignment vertical="center"/>
    </xf>
    <xf numFmtId="179" fontId="4" fillId="0" borderId="11" xfId="0" applyNumberFormat="1" applyFont="1" applyFill="1" applyBorder="1" applyAlignment="1">
      <alignment horizontal="center" vertical="top" wrapText="1"/>
    </xf>
    <xf numFmtId="0" fontId="0" fillId="0" borderId="0" xfId="0" applyFill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4" fillId="0" borderId="0" xfId="33" applyFont="1" applyFill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9" fontId="4" fillId="0" borderId="14" xfId="0" applyNumberFormat="1" applyFont="1" applyBorder="1" applyAlignment="1">
      <alignment horizontal="center" vertical="center"/>
    </xf>
    <xf numFmtId="179" fontId="4" fillId="0" borderId="15" xfId="0" applyNumberFormat="1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6" fillId="0" borderId="0" xfId="0" applyFont="1">
      <alignment vertical="center"/>
    </xf>
    <xf numFmtId="41" fontId="6" fillId="0" borderId="0" xfId="33" applyFont="1">
      <alignment vertical="center"/>
    </xf>
    <xf numFmtId="0" fontId="2" fillId="24" borderId="0" xfId="0" applyFont="1" applyFill="1">
      <alignment vertical="center"/>
    </xf>
    <xf numFmtId="41" fontId="2" fillId="0" borderId="0" xfId="33" applyFont="1">
      <alignment vertical="center"/>
    </xf>
    <xf numFmtId="0" fontId="2" fillId="0" borderId="0" xfId="0" applyFont="1">
      <alignment vertical="center"/>
    </xf>
    <xf numFmtId="179" fontId="7" fillId="0" borderId="17" xfId="33" applyNumberFormat="1" applyFont="1" applyBorder="1" applyAlignment="1">
      <alignment horizontal="center" vertical="center"/>
    </xf>
    <xf numFmtId="179" fontId="7" fillId="0" borderId="18" xfId="33" applyNumberFormat="1" applyFont="1" applyBorder="1" applyAlignment="1">
      <alignment horizontal="center" vertical="center"/>
    </xf>
    <xf numFmtId="178" fontId="7" fillId="0" borderId="19" xfId="0" applyNumberFormat="1" applyFont="1" applyBorder="1" applyAlignment="1">
      <alignment horizontal="center" vertical="center"/>
    </xf>
    <xf numFmtId="178" fontId="7" fillId="0" borderId="20" xfId="0" applyNumberFormat="1" applyFont="1" applyBorder="1">
      <alignment vertical="center"/>
    </xf>
    <xf numFmtId="41" fontId="7" fillId="0" borderId="21" xfId="33" applyFont="1" applyBorder="1" applyAlignment="1">
      <alignment horizontal="center" vertical="center"/>
    </xf>
    <xf numFmtId="41" fontId="7" fillId="0" borderId="22" xfId="33" applyFont="1" applyBorder="1" applyAlignment="1">
      <alignment horizontal="center" vertical="center"/>
    </xf>
    <xf numFmtId="41" fontId="7" fillId="0" borderId="23" xfId="33" applyFont="1" applyBorder="1" applyAlignment="1">
      <alignment horizontal="center" vertical="center"/>
    </xf>
    <xf numFmtId="178" fontId="7" fillId="0" borderId="24" xfId="0" applyNumberFormat="1" applyFont="1" applyBorder="1">
      <alignment vertical="center"/>
    </xf>
    <xf numFmtId="41" fontId="7" fillId="0" borderId="25" xfId="33" applyFont="1" applyBorder="1" applyAlignment="1">
      <alignment horizontal="center" vertical="center"/>
    </xf>
    <xf numFmtId="41" fontId="7" fillId="0" borderId="26" xfId="33" applyFont="1" applyBorder="1" applyAlignment="1">
      <alignment horizontal="center" vertical="center"/>
    </xf>
    <xf numFmtId="41" fontId="7" fillId="0" borderId="27" xfId="33" applyFont="1" applyBorder="1" applyAlignment="1">
      <alignment horizontal="center" vertical="center"/>
    </xf>
    <xf numFmtId="41" fontId="7" fillId="0" borderId="26" xfId="33" applyFont="1" applyFill="1" applyBorder="1" applyAlignment="1">
      <alignment horizontal="center" vertical="center"/>
    </xf>
    <xf numFmtId="178" fontId="7" fillId="0" borderId="24" xfId="0" applyNumberFormat="1" applyFont="1" applyFill="1" applyBorder="1">
      <alignment vertical="center"/>
    </xf>
    <xf numFmtId="41" fontId="7" fillId="0" borderId="25" xfId="33" applyFont="1" applyFill="1" applyBorder="1" applyAlignment="1">
      <alignment horizontal="center" vertical="center"/>
    </xf>
    <xf numFmtId="178" fontId="7" fillId="25" borderId="28" xfId="0" applyNumberFormat="1" applyFont="1" applyFill="1" applyBorder="1" applyAlignment="1">
      <alignment horizontal="center" vertical="center"/>
    </xf>
    <xf numFmtId="41" fontId="7" fillId="25" borderId="25" xfId="33" applyFont="1" applyFill="1" applyBorder="1" applyAlignment="1">
      <alignment horizontal="center" vertical="center"/>
    </xf>
    <xf numFmtId="41" fontId="7" fillId="25" borderId="29" xfId="33" applyFont="1" applyFill="1" applyBorder="1" applyAlignment="1">
      <alignment horizontal="center" vertical="center"/>
    </xf>
    <xf numFmtId="178" fontId="7" fillId="0" borderId="30" xfId="0" applyNumberFormat="1" applyFont="1" applyBorder="1">
      <alignment vertical="center"/>
    </xf>
    <xf numFmtId="41" fontId="7" fillId="0" borderId="31" xfId="33" applyFont="1" applyBorder="1" applyAlignment="1">
      <alignment horizontal="center" vertical="center"/>
    </xf>
    <xf numFmtId="41" fontId="7" fillId="0" borderId="32" xfId="33" applyFont="1" applyBorder="1" applyAlignment="1">
      <alignment horizontal="center" vertical="center"/>
    </xf>
    <xf numFmtId="41" fontId="7" fillId="0" borderId="33" xfId="33" applyFont="1" applyBorder="1" applyAlignment="1">
      <alignment horizontal="center" vertical="center"/>
    </xf>
    <xf numFmtId="178" fontId="7" fillId="25" borderId="34" xfId="0" applyNumberFormat="1" applyFont="1" applyFill="1" applyBorder="1" applyAlignment="1">
      <alignment horizontal="center" vertical="center"/>
    </xf>
    <xf numFmtId="41" fontId="7" fillId="25" borderId="35" xfId="33" applyFont="1" applyFill="1" applyBorder="1" applyAlignment="1">
      <alignment horizontal="center" vertical="center"/>
    </xf>
    <xf numFmtId="41" fontId="7" fillId="25" borderId="36" xfId="33" applyFont="1" applyFill="1" applyBorder="1" applyAlignment="1">
      <alignment horizontal="center" vertical="center"/>
    </xf>
    <xf numFmtId="41" fontId="7" fillId="26" borderId="37" xfId="33" applyFont="1" applyFill="1" applyBorder="1" applyAlignment="1">
      <alignment horizontal="center" vertical="center"/>
    </xf>
    <xf numFmtId="43" fontId="2" fillId="0" borderId="0" xfId="0" applyNumberFormat="1" applyFont="1">
      <alignment vertical="center"/>
    </xf>
    <xf numFmtId="41" fontId="35" fillId="0" borderId="0" xfId="33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3" fillId="0" borderId="39" xfId="0" applyFont="1" applyBorder="1" applyAlignment="1">
      <alignment horizontal="center" vertical="center"/>
    </xf>
    <xf numFmtId="41" fontId="28" fillId="0" borderId="0" xfId="0" applyNumberFormat="1" applyFont="1" applyAlignment="1">
      <alignment vertical="center"/>
    </xf>
    <xf numFmtId="0" fontId="8" fillId="0" borderId="40" xfId="0" quotePrefix="1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 textRotation="255"/>
    </xf>
    <xf numFmtId="0" fontId="33" fillId="0" borderId="39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33" fillId="0" borderId="42" xfId="0" applyFont="1" applyFill="1" applyBorder="1" applyAlignment="1">
      <alignment horizontal="center" vertical="center" wrapText="1"/>
    </xf>
    <xf numFmtId="0" fontId="36" fillId="27" borderId="45" xfId="0" applyFont="1" applyFill="1" applyBorder="1" applyAlignment="1">
      <alignment horizontal="centerContinuous" vertical="center"/>
    </xf>
    <xf numFmtId="0" fontId="8" fillId="27" borderId="38" xfId="0" applyFont="1" applyFill="1" applyBorder="1" applyAlignment="1">
      <alignment horizontal="centerContinuous" vertical="center"/>
    </xf>
    <xf numFmtId="0" fontId="8" fillId="0" borderId="38" xfId="0" applyFont="1" applyFill="1" applyBorder="1" applyAlignment="1">
      <alignment horizontal="centerContinuous" vertical="center"/>
    </xf>
    <xf numFmtId="41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8" fillId="27" borderId="46" xfId="0" applyFont="1" applyFill="1" applyBorder="1" applyAlignment="1">
      <alignment horizontal="centerContinuous" vertical="center"/>
    </xf>
    <xf numFmtId="0" fontId="37" fillId="0" borderId="0" xfId="0" applyFont="1" applyAlignment="1">
      <alignment vertical="center"/>
    </xf>
    <xf numFmtId="178" fontId="7" fillId="0" borderId="47" xfId="0" applyNumberFormat="1" applyFont="1" applyFill="1" applyBorder="1">
      <alignment vertical="center"/>
    </xf>
    <xf numFmtId="41" fontId="7" fillId="0" borderId="48" xfId="33" applyFont="1" applyFill="1" applyBorder="1" applyAlignment="1">
      <alignment horizontal="center" vertical="center"/>
    </xf>
    <xf numFmtId="178" fontId="7" fillId="0" borderId="47" xfId="0" applyNumberFormat="1" applyFont="1" applyBorder="1">
      <alignment vertical="center"/>
    </xf>
    <xf numFmtId="41" fontId="7" fillId="0" borderId="48" xfId="33" applyFont="1" applyBorder="1" applyAlignment="1">
      <alignment horizontal="center" vertical="center"/>
    </xf>
    <xf numFmtId="178" fontId="7" fillId="0" borderId="49" xfId="0" applyNumberFormat="1" applyFont="1" applyBorder="1">
      <alignment vertical="center"/>
    </xf>
    <xf numFmtId="41" fontId="7" fillId="0" borderId="50" xfId="33" applyFont="1" applyBorder="1" applyAlignment="1">
      <alignment horizontal="center" vertical="center"/>
    </xf>
    <xf numFmtId="41" fontId="7" fillId="0" borderId="51" xfId="33" applyFont="1" applyBorder="1" applyAlignment="1">
      <alignment horizontal="center" vertical="center"/>
    </xf>
    <xf numFmtId="41" fontId="7" fillId="0" borderId="52" xfId="33" applyFont="1" applyBorder="1" applyAlignment="1">
      <alignment horizontal="center" vertical="center"/>
    </xf>
    <xf numFmtId="41" fontId="7" fillId="0" borderId="51" xfId="33" applyFont="1" applyFill="1" applyBorder="1" applyAlignment="1">
      <alignment horizontal="center" vertical="center"/>
    </xf>
    <xf numFmtId="0" fontId="32" fillId="28" borderId="53" xfId="0" quotePrefix="1" applyFont="1" applyFill="1" applyBorder="1" applyAlignment="1">
      <alignment horizontal="center" vertical="center" wrapText="1"/>
    </xf>
    <xf numFmtId="0" fontId="32" fillId="28" borderId="54" xfId="0" applyFont="1" applyFill="1" applyBorder="1" applyAlignment="1">
      <alignment horizontal="center" vertical="center" wrapText="1"/>
    </xf>
    <xf numFmtId="0" fontId="2" fillId="25" borderId="55" xfId="0" applyFont="1" applyFill="1" applyBorder="1">
      <alignment vertical="center"/>
    </xf>
    <xf numFmtId="0" fontId="2" fillId="25" borderId="56" xfId="0" applyFont="1" applyFill="1" applyBorder="1">
      <alignment vertical="center"/>
    </xf>
    <xf numFmtId="41" fontId="2" fillId="25" borderId="56" xfId="33" applyFont="1" applyFill="1" applyBorder="1">
      <alignment vertical="center"/>
    </xf>
    <xf numFmtId="41" fontId="2" fillId="25" borderId="56" xfId="0" applyNumberFormat="1" applyFont="1" applyFill="1" applyBorder="1">
      <alignment vertical="center"/>
    </xf>
    <xf numFmtId="0" fontId="2" fillId="25" borderId="57" xfId="0" applyFont="1" applyFill="1" applyBorder="1">
      <alignment vertical="center"/>
    </xf>
    <xf numFmtId="0" fontId="2" fillId="0" borderId="56" xfId="0" applyFont="1" applyBorder="1">
      <alignment vertical="center"/>
    </xf>
    <xf numFmtId="41" fontId="7" fillId="0" borderId="56" xfId="33" applyFont="1" applyBorder="1" applyAlignment="1">
      <alignment horizontal="center" vertical="center"/>
    </xf>
    <xf numFmtId="41" fontId="2" fillId="0" borderId="56" xfId="0" applyNumberFormat="1" applyFont="1" applyBorder="1">
      <alignment vertical="center"/>
    </xf>
    <xf numFmtId="0" fontId="2" fillId="25" borderId="58" xfId="0" applyFont="1" applyFill="1" applyBorder="1">
      <alignment vertical="center"/>
    </xf>
    <xf numFmtId="41" fontId="2" fillId="0" borderId="56" xfId="33" applyFont="1" applyBorder="1">
      <alignment vertical="center"/>
    </xf>
    <xf numFmtId="0" fontId="39" fillId="0" borderId="0" xfId="0" applyFont="1">
      <alignment vertical="center"/>
    </xf>
    <xf numFmtId="0" fontId="2" fillId="25" borderId="59" xfId="0" applyFont="1" applyFill="1" applyBorder="1">
      <alignment vertical="center"/>
    </xf>
    <xf numFmtId="0" fontId="2" fillId="25" borderId="60" xfId="0" applyFont="1" applyFill="1" applyBorder="1">
      <alignment vertical="center"/>
    </xf>
    <xf numFmtId="0" fontId="2" fillId="0" borderId="0" xfId="0" applyFont="1" applyBorder="1">
      <alignment vertical="center"/>
    </xf>
    <xf numFmtId="41" fontId="2" fillId="0" borderId="0" xfId="33" applyFont="1" applyBorder="1">
      <alignment vertical="center"/>
    </xf>
    <xf numFmtId="41" fontId="2" fillId="0" borderId="0" xfId="0" applyNumberFormat="1" applyFont="1" applyBorder="1">
      <alignment vertical="center"/>
    </xf>
    <xf numFmtId="41" fontId="7" fillId="0" borderId="60" xfId="33" applyFont="1" applyBorder="1" applyAlignment="1">
      <alignment horizontal="center" vertical="center"/>
    </xf>
    <xf numFmtId="41" fontId="2" fillId="0" borderId="60" xfId="33" applyFont="1" applyBorder="1">
      <alignment vertical="center"/>
    </xf>
    <xf numFmtId="41" fontId="7" fillId="0" borderId="61" xfId="33" applyFont="1" applyBorder="1" applyAlignment="1">
      <alignment horizontal="center" vertical="center"/>
    </xf>
    <xf numFmtId="41" fontId="7" fillId="0" borderId="62" xfId="33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8" fillId="0" borderId="0" xfId="46" applyFont="1" applyAlignment="1">
      <alignment vertical="center"/>
    </xf>
    <xf numFmtId="0" fontId="33" fillId="0" borderId="0" xfId="46" applyFont="1" applyFill="1" applyBorder="1" applyAlignment="1">
      <alignment vertical="center" wrapText="1"/>
    </xf>
    <xf numFmtId="41" fontId="33" fillId="0" borderId="0" xfId="46" applyNumberFormat="1" applyFont="1" applyAlignment="1">
      <alignment vertical="center"/>
    </xf>
    <xf numFmtId="0" fontId="33" fillId="0" borderId="0" xfId="46" applyFont="1" applyAlignment="1">
      <alignment vertical="center"/>
    </xf>
    <xf numFmtId="0" fontId="33" fillId="0" borderId="0" xfId="46" applyFont="1" applyFill="1" applyBorder="1" applyAlignment="1">
      <alignment vertical="center"/>
    </xf>
    <xf numFmtId="0" fontId="33" fillId="0" borderId="0" xfId="46" applyFont="1" applyFill="1" applyBorder="1" applyAlignment="1">
      <alignment horizontal="left" vertical="center"/>
    </xf>
    <xf numFmtId="0" fontId="40" fillId="0" borderId="0" xfId="46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41" fillId="29" borderId="0" xfId="0" applyFont="1" applyFill="1" applyBorder="1" applyAlignment="1">
      <alignment horizontal="center" vertical="center"/>
    </xf>
    <xf numFmtId="41" fontId="35" fillId="0" borderId="0" xfId="33" applyFont="1" applyBorder="1" applyAlignment="1">
      <alignment vertical="center"/>
    </xf>
    <xf numFmtId="0" fontId="42" fillId="0" borderId="0" xfId="0" applyFont="1">
      <alignment vertical="center"/>
    </xf>
    <xf numFmtId="0" fontId="7" fillId="0" borderId="0" xfId="0" applyFont="1">
      <alignment vertical="center"/>
    </xf>
    <xf numFmtId="41" fontId="7" fillId="0" borderId="0" xfId="33" applyFont="1">
      <alignment vertical="center"/>
    </xf>
    <xf numFmtId="41" fontId="43" fillId="0" borderId="0" xfId="33" applyFont="1">
      <alignment vertical="center"/>
    </xf>
    <xf numFmtId="0" fontId="5" fillId="0" borderId="0" xfId="0" applyFont="1">
      <alignment vertical="center"/>
    </xf>
    <xf numFmtId="180" fontId="4" fillId="0" borderId="63" xfId="0" applyNumberFormat="1" applyFont="1" applyBorder="1" applyAlignment="1">
      <alignment horizontal="center" vertical="top"/>
    </xf>
    <xf numFmtId="181" fontId="5" fillId="26" borderId="64" xfId="0" applyNumberFormat="1" applyFont="1" applyFill="1" applyBorder="1" applyAlignment="1">
      <alignment horizontal="center" wrapText="1"/>
    </xf>
    <xf numFmtId="0" fontId="44" fillId="0" borderId="0" xfId="0" applyFont="1">
      <alignment vertical="center"/>
    </xf>
    <xf numFmtId="41" fontId="4" fillId="0" borderId="0" xfId="0" applyNumberFormat="1" applyFont="1">
      <alignment vertical="center"/>
    </xf>
    <xf numFmtId="0" fontId="32" fillId="30" borderId="54" xfId="0" quotePrefix="1" applyFont="1" applyFill="1" applyBorder="1" applyAlignment="1">
      <alignment horizontal="center" vertical="center" wrapText="1"/>
    </xf>
    <xf numFmtId="41" fontId="7" fillId="0" borderId="56" xfId="33" applyFont="1" applyBorder="1" applyAlignment="1">
      <alignment horizontal="right" vertical="center"/>
    </xf>
    <xf numFmtId="0" fontId="45" fillId="0" borderId="0" xfId="0" applyFont="1" applyAlignment="1">
      <alignment vertical="center"/>
    </xf>
    <xf numFmtId="179" fontId="5" fillId="32" borderId="65" xfId="0" applyNumberFormat="1" applyFont="1" applyFill="1" applyBorder="1" applyAlignment="1">
      <alignment horizontal="center" vertical="top" wrapText="1"/>
    </xf>
    <xf numFmtId="178" fontId="7" fillId="0" borderId="49" xfId="0" applyNumberFormat="1" applyFont="1" applyFill="1" applyBorder="1">
      <alignment vertical="center"/>
    </xf>
    <xf numFmtId="41" fontId="7" fillId="0" borderId="50" xfId="33" applyFont="1" applyFill="1" applyBorder="1" applyAlignment="1">
      <alignment horizontal="center" vertical="center"/>
    </xf>
    <xf numFmtId="41" fontId="7" fillId="0" borderId="50" xfId="33" applyFont="1" applyFill="1" applyBorder="1" applyAlignment="1">
      <alignment horizontal="right" vertical="center"/>
    </xf>
    <xf numFmtId="0" fontId="2" fillId="0" borderId="56" xfId="0" applyFont="1" applyBorder="1" applyAlignment="1">
      <alignment vertical="center" shrinkToFit="1"/>
    </xf>
    <xf numFmtId="0" fontId="8" fillId="0" borderId="40" xfId="0" applyFont="1" applyBorder="1" applyAlignment="1">
      <alignment horizontal="center" vertical="center" wrapText="1"/>
    </xf>
    <xf numFmtId="49" fontId="8" fillId="0" borderId="66" xfId="0" applyNumberFormat="1" applyFont="1" applyBorder="1" applyAlignment="1">
      <alignment horizontal="center" vertical="center" textRotation="255"/>
    </xf>
    <xf numFmtId="41" fontId="7" fillId="0" borderId="67" xfId="33" applyFont="1" applyFill="1" applyBorder="1" applyAlignment="1">
      <alignment horizontal="center" vertical="center"/>
    </xf>
    <xf numFmtId="41" fontId="7" fillId="0" borderId="68" xfId="33" applyFont="1" applyFill="1" applyBorder="1" applyAlignment="1">
      <alignment horizontal="center" vertical="center"/>
    </xf>
    <xf numFmtId="178" fontId="7" fillId="0" borderId="69" xfId="0" applyNumberFormat="1" applyFont="1" applyFill="1" applyBorder="1" applyAlignment="1">
      <alignment vertical="center"/>
    </xf>
    <xf numFmtId="179" fontId="30" fillId="28" borderId="46" xfId="0" quotePrefix="1" applyNumberFormat="1" applyFont="1" applyFill="1" applyBorder="1" applyAlignment="1">
      <alignment horizontal="center" vertical="center"/>
    </xf>
    <xf numFmtId="0" fontId="2" fillId="33" borderId="56" xfId="0" applyFont="1" applyFill="1" applyBorder="1">
      <alignment vertical="center"/>
    </xf>
    <xf numFmtId="41" fontId="7" fillId="33" borderId="61" xfId="33" applyFont="1" applyFill="1" applyBorder="1">
      <alignment vertical="center"/>
    </xf>
    <xf numFmtId="41" fontId="7" fillId="33" borderId="56" xfId="33" applyFont="1" applyFill="1" applyBorder="1">
      <alignment vertical="center"/>
    </xf>
    <xf numFmtId="41" fontId="7" fillId="33" borderId="62" xfId="33" applyFont="1" applyFill="1" applyBorder="1">
      <alignment vertical="center"/>
    </xf>
    <xf numFmtId="41" fontId="7" fillId="33" borderId="60" xfId="33" applyFont="1" applyFill="1" applyBorder="1">
      <alignment vertical="center"/>
    </xf>
    <xf numFmtId="41" fontId="7" fillId="33" borderId="56" xfId="0" applyNumberFormat="1" applyFont="1" applyFill="1" applyBorder="1">
      <alignment vertical="center"/>
    </xf>
    <xf numFmtId="177" fontId="5" fillId="26" borderId="65" xfId="33" applyNumberFormat="1" applyFont="1" applyFill="1" applyBorder="1" applyAlignment="1">
      <alignment horizontal="center" vertical="center"/>
    </xf>
    <xf numFmtId="177" fontId="4" fillId="0" borderId="11" xfId="33" applyNumberFormat="1" applyFont="1" applyBorder="1" applyAlignment="1">
      <alignment horizontal="center" vertical="center"/>
    </xf>
    <xf numFmtId="176" fontId="4" fillId="0" borderId="70" xfId="29" applyNumberFormat="1" applyFont="1" applyBorder="1" applyAlignment="1">
      <alignment horizontal="center" vertical="center"/>
    </xf>
    <xf numFmtId="176" fontId="4" fillId="0" borderId="71" xfId="29" applyNumberFormat="1" applyFont="1" applyBorder="1" applyAlignment="1">
      <alignment horizontal="center" vertical="center"/>
    </xf>
    <xf numFmtId="41" fontId="7" fillId="33" borderId="56" xfId="33" applyFont="1" applyFill="1" applyBorder="1">
      <alignment vertical="center"/>
    </xf>
    <xf numFmtId="41" fontId="7" fillId="33" borderId="60" xfId="33" applyFont="1" applyFill="1" applyBorder="1">
      <alignment vertical="center"/>
    </xf>
    <xf numFmtId="0" fontId="2" fillId="33" borderId="56" xfId="0" applyFont="1" applyFill="1" applyBorder="1">
      <alignment vertical="center"/>
    </xf>
    <xf numFmtId="41" fontId="7" fillId="33" borderId="61" xfId="33" applyFont="1" applyFill="1" applyBorder="1">
      <alignment vertical="center"/>
    </xf>
    <xf numFmtId="41" fontId="7" fillId="33" borderId="56" xfId="33" applyFont="1" applyFill="1" applyBorder="1">
      <alignment vertical="center"/>
    </xf>
    <xf numFmtId="41" fontId="7" fillId="33" borderId="62" xfId="33" applyFont="1" applyFill="1" applyBorder="1">
      <alignment vertical="center"/>
    </xf>
    <xf numFmtId="41" fontId="7" fillId="33" borderId="60" xfId="33" applyFont="1" applyFill="1" applyBorder="1">
      <alignment vertical="center"/>
    </xf>
    <xf numFmtId="41" fontId="7" fillId="33" borderId="56" xfId="0" applyNumberFormat="1" applyFont="1" applyFill="1" applyBorder="1">
      <alignment vertical="center"/>
    </xf>
    <xf numFmtId="0" fontId="47" fillId="0" borderId="56" xfId="0" applyFont="1" applyBorder="1">
      <alignment vertical="center"/>
    </xf>
    <xf numFmtId="49" fontId="8" fillId="0" borderId="72" xfId="0" applyNumberFormat="1" applyFont="1" applyBorder="1" applyAlignment="1">
      <alignment horizontal="center" vertical="center" textRotation="255"/>
    </xf>
    <xf numFmtId="41" fontId="7" fillId="0" borderId="31" xfId="33" applyFont="1" applyFill="1" applyBorder="1" applyAlignment="1">
      <alignment horizontal="center" vertical="center"/>
    </xf>
    <xf numFmtId="41" fontId="7" fillId="0" borderId="73" xfId="33" applyFont="1" applyFill="1" applyBorder="1" applyAlignment="1">
      <alignment horizontal="center" vertical="center"/>
    </xf>
    <xf numFmtId="0" fontId="8" fillId="27" borderId="74" xfId="0" applyFont="1" applyFill="1" applyBorder="1" applyAlignment="1">
      <alignment horizontal="centerContinuous" vertical="center"/>
    </xf>
    <xf numFmtId="0" fontId="8" fillId="27" borderId="75" xfId="0" applyFont="1" applyFill="1" applyBorder="1" applyAlignment="1">
      <alignment horizontal="centerContinuous" vertical="center"/>
    </xf>
    <xf numFmtId="176" fontId="34" fillId="27" borderId="76" xfId="29" applyNumberFormat="1" applyFont="1" applyFill="1" applyBorder="1" applyAlignment="1">
      <alignment vertical="center"/>
    </xf>
    <xf numFmtId="176" fontId="34" fillId="27" borderId="77" xfId="29" applyNumberFormat="1" applyFont="1" applyFill="1" applyBorder="1" applyAlignment="1">
      <alignment vertical="center"/>
    </xf>
    <xf numFmtId="0" fontId="36" fillId="27" borderId="78" xfId="0" applyFont="1" applyFill="1" applyBorder="1" applyAlignment="1">
      <alignment horizontal="centerContinuous" vertical="center"/>
    </xf>
    <xf numFmtId="177" fontId="4" fillId="27" borderId="79" xfId="33" applyNumberFormat="1" applyFont="1" applyFill="1" applyBorder="1" applyAlignment="1">
      <alignment horizontal="center" vertical="center"/>
    </xf>
    <xf numFmtId="177" fontId="4" fillId="31" borderId="79" xfId="33" applyNumberFormat="1" applyFont="1" applyFill="1" applyBorder="1" applyAlignment="1">
      <alignment horizontal="center" vertical="center"/>
    </xf>
    <xf numFmtId="177" fontId="4" fillId="24" borderId="73" xfId="33" applyNumberFormat="1" applyFont="1" applyFill="1" applyBorder="1" applyAlignment="1">
      <alignment horizontal="center" vertical="center"/>
    </xf>
    <xf numFmtId="177" fontId="4" fillId="27" borderId="80" xfId="33" applyNumberFormat="1" applyFont="1" applyFill="1" applyBorder="1" applyAlignment="1">
      <alignment horizontal="center" vertical="center"/>
    </xf>
    <xf numFmtId="177" fontId="4" fillId="31" borderId="80" xfId="33" applyNumberFormat="1" applyFont="1" applyFill="1" applyBorder="1" applyAlignment="1">
      <alignment horizontal="center" vertical="center"/>
    </xf>
    <xf numFmtId="177" fontId="4" fillId="24" borderId="29" xfId="33" applyNumberFormat="1" applyFont="1" applyFill="1" applyBorder="1" applyAlignment="1">
      <alignment horizontal="center" vertical="center"/>
    </xf>
    <xf numFmtId="177" fontId="4" fillId="27" borderId="81" xfId="33" applyNumberFormat="1" applyFont="1" applyFill="1" applyBorder="1" applyAlignment="1">
      <alignment horizontal="center" vertical="center"/>
    </xf>
    <xf numFmtId="177" fontId="4" fillId="31" borderId="81" xfId="33" applyNumberFormat="1" applyFont="1" applyFill="1" applyBorder="1" applyAlignment="1">
      <alignment horizontal="center" vertical="center"/>
    </xf>
    <xf numFmtId="177" fontId="4" fillId="24" borderId="82" xfId="33" applyNumberFormat="1" applyFont="1" applyFill="1" applyBorder="1" applyAlignment="1">
      <alignment horizontal="center" vertical="center"/>
    </xf>
    <xf numFmtId="177" fontId="4" fillId="27" borderId="83" xfId="33" applyNumberFormat="1" applyFont="1" applyFill="1" applyBorder="1" applyAlignment="1">
      <alignment horizontal="center" vertical="center"/>
    </xf>
    <xf numFmtId="177" fontId="4" fillId="31" borderId="83" xfId="33" applyNumberFormat="1" applyFont="1" applyFill="1" applyBorder="1" applyAlignment="1">
      <alignment horizontal="center" vertical="center"/>
    </xf>
    <xf numFmtId="177" fontId="4" fillId="24" borderId="70" xfId="33" applyNumberFormat="1" applyFont="1" applyFill="1" applyBorder="1" applyAlignment="1">
      <alignment horizontal="center" vertical="center"/>
    </xf>
    <xf numFmtId="178" fontId="7" fillId="0" borderId="30" xfId="0" applyNumberFormat="1" applyFont="1" applyBorder="1" applyAlignment="1">
      <alignment horizontal="left" vertical="center"/>
    </xf>
    <xf numFmtId="178" fontId="7" fillId="0" borderId="49" xfId="0" applyNumberFormat="1" applyFont="1" applyBorder="1" applyAlignment="1">
      <alignment horizontal="left" vertical="center"/>
    </xf>
    <xf numFmtId="178" fontId="7" fillId="0" borderId="24" xfId="0" applyNumberFormat="1" applyFont="1" applyBorder="1" applyAlignment="1">
      <alignment horizontal="left" vertical="center"/>
    </xf>
    <xf numFmtId="178" fontId="7" fillId="0" borderId="47" xfId="0" applyNumberFormat="1" applyFont="1" applyBorder="1" applyAlignment="1">
      <alignment horizontal="left" vertical="center"/>
    </xf>
    <xf numFmtId="178" fontId="7" fillId="0" borderId="47" xfId="0" applyNumberFormat="1" applyFont="1" applyFill="1" applyBorder="1" applyAlignment="1">
      <alignment horizontal="left" vertical="center"/>
    </xf>
    <xf numFmtId="178" fontId="7" fillId="0" borderId="49" xfId="0" applyNumberFormat="1" applyFont="1" applyFill="1" applyBorder="1" applyAlignment="1">
      <alignment horizontal="left" vertical="center"/>
    </xf>
    <xf numFmtId="178" fontId="7" fillId="25" borderId="34" xfId="0" applyNumberFormat="1" applyFont="1" applyFill="1" applyBorder="1" applyAlignment="1">
      <alignment horizontal="left" vertical="center"/>
    </xf>
    <xf numFmtId="178" fontId="7" fillId="0" borderId="20" xfId="0" applyNumberFormat="1" applyFont="1" applyBorder="1" applyAlignment="1">
      <alignment horizontal="left" vertical="center"/>
    </xf>
    <xf numFmtId="178" fontId="7" fillId="25" borderId="28" xfId="0" applyNumberFormat="1" applyFont="1" applyFill="1" applyBorder="1" applyAlignment="1">
      <alignment horizontal="left" vertical="center"/>
    </xf>
    <xf numFmtId="178" fontId="7" fillId="0" borderId="30" xfId="0" applyNumberFormat="1" applyFont="1" applyFill="1" applyBorder="1" applyAlignment="1">
      <alignment horizontal="left" vertical="center"/>
    </xf>
    <xf numFmtId="178" fontId="7" fillId="0" borderId="84" xfId="0" applyNumberFormat="1" applyFont="1" applyFill="1" applyBorder="1" applyAlignment="1">
      <alignment horizontal="left" vertical="center"/>
    </xf>
    <xf numFmtId="0" fontId="36" fillId="0" borderId="38" xfId="0" applyFont="1" applyFill="1" applyBorder="1" applyAlignment="1">
      <alignment horizontal="centerContinuous" vertical="center"/>
    </xf>
    <xf numFmtId="0" fontId="30" fillId="28" borderId="85" xfId="0" quotePrefix="1" applyFont="1" applyFill="1" applyBorder="1" applyAlignment="1">
      <alignment horizontal="center" vertical="center" wrapText="1"/>
    </xf>
    <xf numFmtId="0" fontId="29" fillId="28" borderId="86" xfId="0" quotePrefix="1" applyFont="1" applyFill="1" applyBorder="1" applyAlignment="1">
      <alignment horizontal="center" vertical="center" wrapText="1"/>
    </xf>
    <xf numFmtId="0" fontId="29" fillId="28" borderId="87" xfId="0" applyFont="1" applyFill="1" applyBorder="1" applyAlignment="1">
      <alignment horizontal="center" vertical="center" wrapText="1"/>
    </xf>
    <xf numFmtId="0" fontId="30" fillId="30" borderId="87" xfId="0" quotePrefix="1" applyFont="1" applyFill="1" applyBorder="1" applyAlignment="1">
      <alignment horizontal="center" vertical="center"/>
    </xf>
    <xf numFmtId="0" fontId="2" fillId="33" borderId="0" xfId="0" applyFont="1" applyFill="1">
      <alignment vertical="center"/>
    </xf>
    <xf numFmtId="0" fontId="2" fillId="33" borderId="0" xfId="0" applyFont="1" applyFill="1" applyBorder="1">
      <alignment vertical="center"/>
    </xf>
    <xf numFmtId="41" fontId="7" fillId="33" borderId="0" xfId="33" applyFont="1" applyFill="1" applyBorder="1" applyAlignment="1">
      <alignment horizontal="center" vertical="center"/>
    </xf>
    <xf numFmtId="41" fontId="2" fillId="33" borderId="0" xfId="33" applyFont="1" applyFill="1" applyBorder="1">
      <alignment vertical="center"/>
    </xf>
    <xf numFmtId="41" fontId="2" fillId="33" borderId="0" xfId="0" applyNumberFormat="1" applyFont="1" applyFill="1" applyBorder="1">
      <alignment vertical="center"/>
    </xf>
    <xf numFmtId="0" fontId="7" fillId="33" borderId="0" xfId="0" applyFont="1" applyFill="1">
      <alignment vertical="center"/>
    </xf>
    <xf numFmtId="0" fontId="0" fillId="33" borderId="0" xfId="0" applyFill="1">
      <alignment vertical="center"/>
    </xf>
    <xf numFmtId="41" fontId="7" fillId="0" borderId="88" xfId="33" applyFont="1" applyBorder="1" applyAlignment="1">
      <alignment horizontal="center" vertical="center"/>
    </xf>
    <xf numFmtId="41" fontId="7" fillId="0" borderId="0" xfId="33" applyFont="1" applyBorder="1" applyAlignment="1">
      <alignment horizontal="center" vertical="center"/>
    </xf>
    <xf numFmtId="41" fontId="7" fillId="0" borderId="56" xfId="0" applyNumberFormat="1" applyFont="1" applyBorder="1">
      <alignment vertical="center"/>
    </xf>
    <xf numFmtId="41" fontId="7" fillId="0" borderId="60" xfId="33" applyFont="1" applyBorder="1">
      <alignment vertical="center"/>
    </xf>
    <xf numFmtId="41" fontId="7" fillId="0" borderId="56" xfId="33" applyFont="1" applyBorder="1">
      <alignment vertical="center"/>
    </xf>
    <xf numFmtId="0" fontId="2" fillId="0" borderId="0" xfId="0" applyFont="1" applyFill="1">
      <alignment vertical="center"/>
    </xf>
    <xf numFmtId="41" fontId="7" fillId="0" borderId="0" xfId="33" applyFont="1" applyFill="1" applyBorder="1" applyAlignment="1">
      <alignment horizontal="center" vertical="center"/>
    </xf>
    <xf numFmtId="41" fontId="2" fillId="0" borderId="0" xfId="33" applyFont="1" applyFill="1" applyBorder="1">
      <alignment vertical="center"/>
    </xf>
    <xf numFmtId="41" fontId="2" fillId="0" borderId="0" xfId="0" applyNumberFormat="1" applyFont="1" applyFill="1" applyBorder="1">
      <alignment vertical="center"/>
    </xf>
    <xf numFmtId="0" fontId="7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41" fontId="6" fillId="0" borderId="0" xfId="33" applyFont="1" applyFill="1">
      <alignment vertical="center"/>
    </xf>
    <xf numFmtId="0" fontId="42" fillId="0" borderId="0" xfId="0" applyFont="1" applyFill="1">
      <alignment vertical="center"/>
    </xf>
    <xf numFmtId="177" fontId="4" fillId="0" borderId="89" xfId="33" applyNumberFormat="1" applyFont="1" applyFill="1" applyBorder="1" applyAlignment="1">
      <alignment horizontal="center" vertical="center"/>
    </xf>
    <xf numFmtId="176" fontId="4" fillId="0" borderId="90" xfId="29" applyNumberFormat="1" applyFont="1" applyFill="1" applyBorder="1" applyAlignment="1">
      <alignment horizontal="center" vertical="center"/>
    </xf>
    <xf numFmtId="177" fontId="4" fillId="0" borderId="11" xfId="33" applyNumberFormat="1" applyFont="1" applyFill="1" applyBorder="1" applyAlignment="1">
      <alignment horizontal="center" vertical="center"/>
    </xf>
    <xf numFmtId="41" fontId="61" fillId="0" borderId="0" xfId="33" applyFont="1" applyFill="1" applyBorder="1" applyAlignment="1">
      <alignment vertical="center"/>
    </xf>
    <xf numFmtId="176" fontId="61" fillId="0" borderId="0" xfId="29" applyNumberFormat="1" applyFont="1" applyFill="1" applyBorder="1" applyAlignment="1">
      <alignment vertical="center"/>
    </xf>
    <xf numFmtId="176" fontId="34" fillId="29" borderId="57" xfId="29" applyNumberFormat="1" applyFont="1" applyFill="1" applyBorder="1" applyAlignment="1">
      <alignment vertical="center"/>
    </xf>
    <xf numFmtId="176" fontId="34" fillId="29" borderId="91" xfId="29" applyNumberFormat="1" applyFont="1" applyFill="1" applyBorder="1" applyAlignment="1">
      <alignment vertical="center"/>
    </xf>
    <xf numFmtId="176" fontId="34" fillId="0" borderId="91" xfId="29" applyNumberFormat="1" applyFont="1" applyFill="1" applyBorder="1" applyAlignment="1">
      <alignment vertical="center"/>
    </xf>
    <xf numFmtId="41" fontId="35" fillId="0" borderId="92" xfId="33" applyFont="1" applyBorder="1" applyAlignment="1">
      <alignment vertical="center"/>
    </xf>
    <xf numFmtId="176" fontId="34" fillId="29" borderId="53" xfId="29" applyNumberFormat="1" applyFont="1" applyFill="1" applyBorder="1" applyAlignment="1">
      <alignment vertical="center"/>
    </xf>
    <xf numFmtId="176" fontId="34" fillId="29" borderId="54" xfId="29" applyNumberFormat="1" applyFont="1" applyFill="1" applyBorder="1" applyAlignment="1">
      <alignment vertical="center"/>
    </xf>
    <xf numFmtId="176" fontId="34" fillId="0" borderId="54" xfId="29" applyNumberFormat="1" applyFont="1" applyFill="1" applyBorder="1" applyAlignment="1">
      <alignment vertical="center"/>
    </xf>
    <xf numFmtId="176" fontId="34" fillId="29" borderId="39" xfId="29" applyNumberFormat="1" applyFont="1" applyFill="1" applyBorder="1" applyAlignment="1">
      <alignment vertical="center"/>
    </xf>
    <xf numFmtId="176" fontId="34" fillId="29" borderId="94" xfId="29" applyNumberFormat="1" applyFont="1" applyFill="1" applyBorder="1" applyAlignment="1">
      <alignment vertical="center"/>
    </xf>
    <xf numFmtId="176" fontId="34" fillId="0" borderId="94" xfId="29" applyNumberFormat="1" applyFont="1" applyFill="1" applyBorder="1" applyAlignment="1">
      <alignment vertical="center"/>
    </xf>
    <xf numFmtId="176" fontId="34" fillId="29" borderId="41" xfId="29" applyNumberFormat="1" applyFont="1" applyFill="1" applyBorder="1" applyAlignment="1">
      <alignment vertical="center"/>
    </xf>
    <xf numFmtId="176" fontId="34" fillId="29" borderId="58" xfId="29" applyNumberFormat="1" applyFont="1" applyFill="1" applyBorder="1" applyAlignment="1">
      <alignment vertical="center"/>
    </xf>
    <xf numFmtId="176" fontId="34" fillId="29" borderId="96" xfId="29" applyNumberFormat="1" applyFont="1" applyFill="1" applyBorder="1" applyAlignment="1">
      <alignment vertical="center"/>
    </xf>
    <xf numFmtId="176" fontId="34" fillId="0" borderId="96" xfId="29" applyNumberFormat="1" applyFont="1" applyFill="1" applyBorder="1" applyAlignment="1">
      <alignment vertical="center"/>
    </xf>
    <xf numFmtId="176" fontId="34" fillId="29" borderId="98" xfId="29" applyNumberFormat="1" applyFont="1" applyFill="1" applyBorder="1" applyAlignment="1">
      <alignment vertical="center"/>
    </xf>
    <xf numFmtId="0" fontId="48" fillId="0" borderId="0" xfId="46" applyFont="1" applyAlignment="1">
      <alignment horizontal="left" vertical="top"/>
    </xf>
    <xf numFmtId="0" fontId="49" fillId="0" borderId="0" xfId="46" applyFont="1" applyAlignment="1">
      <alignment horizontal="left" vertical="top"/>
    </xf>
    <xf numFmtId="0" fontId="50" fillId="0" borderId="0" xfId="46" applyFont="1" applyAlignment="1">
      <alignment horizontal="center" vertical="center"/>
    </xf>
    <xf numFmtId="0" fontId="50" fillId="0" borderId="0" xfId="46" applyFont="1" applyAlignment="1">
      <alignment vertical="center"/>
    </xf>
    <xf numFmtId="0" fontId="52" fillId="34" borderId="99" xfId="0" quotePrefix="1" applyFont="1" applyFill="1" applyBorder="1" applyAlignment="1">
      <alignment horizontal="center" vertical="center" wrapText="1"/>
    </xf>
    <xf numFmtId="0" fontId="53" fillId="30" borderId="100" xfId="46" applyFont="1" applyFill="1" applyBorder="1" applyAlignment="1">
      <alignment horizontal="center" vertical="center"/>
    </xf>
    <xf numFmtId="179" fontId="52" fillId="34" borderId="46" xfId="0" quotePrefix="1" applyNumberFormat="1" applyFont="1" applyFill="1" applyBorder="1" applyAlignment="1">
      <alignment horizontal="center" vertical="center"/>
    </xf>
    <xf numFmtId="0" fontId="53" fillId="30" borderId="101" xfId="46" applyFont="1" applyFill="1" applyBorder="1" applyAlignment="1">
      <alignment horizontal="center" vertical="center" wrapText="1"/>
    </xf>
    <xf numFmtId="0" fontId="53" fillId="30" borderId="54" xfId="46" applyFont="1" applyFill="1" applyBorder="1" applyAlignment="1">
      <alignment horizontal="center" vertical="center" wrapText="1"/>
    </xf>
    <xf numFmtId="176" fontId="34" fillId="27" borderId="39" xfId="29" applyNumberFormat="1" applyFont="1" applyFill="1" applyBorder="1" applyAlignment="1">
      <alignment vertical="center"/>
    </xf>
    <xf numFmtId="176" fontId="34" fillId="27" borderId="94" xfId="29" applyNumberFormat="1" applyFont="1" applyFill="1" applyBorder="1" applyAlignment="1">
      <alignment vertical="center"/>
    </xf>
    <xf numFmtId="176" fontId="34" fillId="27" borderId="103" xfId="29" applyNumberFormat="1" applyFont="1" applyFill="1" applyBorder="1" applyAlignment="1">
      <alignment vertical="center"/>
    </xf>
    <xf numFmtId="0" fontId="33" fillId="35" borderId="72" xfId="46" applyFont="1" applyFill="1" applyBorder="1" applyAlignment="1">
      <alignment vertical="center" wrapText="1"/>
    </xf>
    <xf numFmtId="176" fontId="34" fillId="0" borderId="56" xfId="29" applyNumberFormat="1" applyFont="1" applyFill="1" applyBorder="1" applyAlignment="1">
      <alignment vertical="center"/>
    </xf>
    <xf numFmtId="176" fontId="34" fillId="0" borderId="104" xfId="29" applyNumberFormat="1" applyFont="1" applyFill="1" applyBorder="1" applyAlignment="1">
      <alignment vertical="center"/>
    </xf>
    <xf numFmtId="176" fontId="34" fillId="0" borderId="104" xfId="29" applyNumberFormat="1" applyFont="1" applyBorder="1" applyAlignment="1">
      <alignment vertical="center"/>
    </xf>
    <xf numFmtId="0" fontId="33" fillId="35" borderId="106" xfId="46" applyFont="1" applyFill="1" applyBorder="1" applyAlignment="1">
      <alignment vertical="center" wrapText="1"/>
    </xf>
    <xf numFmtId="0" fontId="33" fillId="35" borderId="45" xfId="46" applyFont="1" applyFill="1" applyBorder="1" applyAlignment="1">
      <alignment vertical="center" wrapText="1"/>
    </xf>
    <xf numFmtId="41" fontId="59" fillId="0" borderId="107" xfId="33" applyFont="1" applyBorder="1" applyAlignment="1">
      <alignment vertical="center"/>
    </xf>
    <xf numFmtId="41" fontId="59" fillId="0" borderId="108" xfId="33" applyFont="1" applyBorder="1" applyAlignment="1">
      <alignment horizontal="right" vertical="center"/>
    </xf>
    <xf numFmtId="41" fontId="59" fillId="27" borderId="110" xfId="33" applyFont="1" applyFill="1" applyBorder="1" applyAlignment="1">
      <alignment vertical="center"/>
    </xf>
    <xf numFmtId="41" fontId="59" fillId="0" borderId="0" xfId="33" applyFont="1" applyFill="1" applyBorder="1" applyAlignment="1">
      <alignment vertical="center"/>
    </xf>
    <xf numFmtId="177" fontId="5" fillId="32" borderId="111" xfId="33" applyNumberFormat="1" applyFont="1" applyFill="1" applyBorder="1" applyAlignment="1">
      <alignment horizontal="center" vertical="center"/>
    </xf>
    <xf numFmtId="176" fontId="34" fillId="29" borderId="42" xfId="29" applyNumberFormat="1" applyFont="1" applyFill="1" applyBorder="1" applyAlignment="1">
      <alignment vertical="center"/>
    </xf>
    <xf numFmtId="0" fontId="4" fillId="33" borderId="0" xfId="0" applyFont="1" applyFill="1" applyBorder="1" applyAlignment="1">
      <alignment horizontal="center" vertical="center"/>
    </xf>
    <xf numFmtId="177" fontId="4" fillId="33" borderId="0" xfId="33" applyNumberFormat="1" applyFont="1" applyFill="1" applyBorder="1" applyAlignment="1">
      <alignment horizontal="center" vertical="center"/>
    </xf>
    <xf numFmtId="0" fontId="4" fillId="33" borderId="0" xfId="0" applyFont="1" applyFill="1">
      <alignment vertical="center"/>
    </xf>
    <xf numFmtId="0" fontId="4" fillId="33" borderId="0" xfId="0" applyFont="1" applyFill="1" applyAlignment="1">
      <alignment horizontal="center" vertical="center"/>
    </xf>
    <xf numFmtId="177" fontId="5" fillId="32" borderId="65" xfId="33" applyNumberFormat="1" applyFont="1" applyFill="1" applyBorder="1" applyAlignment="1">
      <alignment horizontal="center" vertical="center"/>
    </xf>
    <xf numFmtId="41" fontId="59" fillId="27" borderId="46" xfId="33" applyFont="1" applyFill="1" applyBorder="1" applyAlignment="1">
      <alignment vertical="center"/>
    </xf>
    <xf numFmtId="176" fontId="34" fillId="27" borderId="112" xfId="29" applyNumberFormat="1" applyFont="1" applyFill="1" applyBorder="1" applyAlignment="1">
      <alignment vertical="center"/>
    </xf>
    <xf numFmtId="176" fontId="34" fillId="27" borderId="113" xfId="29" applyNumberFormat="1" applyFont="1" applyFill="1" applyBorder="1" applyAlignment="1">
      <alignment vertical="center"/>
    </xf>
    <xf numFmtId="0" fontId="62" fillId="27" borderId="38" xfId="0" applyFont="1" applyFill="1" applyBorder="1" applyAlignment="1">
      <alignment horizontal="centerContinuous" vertical="center"/>
    </xf>
    <xf numFmtId="183" fontId="5" fillId="32" borderId="64" xfId="0" applyNumberFormat="1" applyFont="1" applyFill="1" applyBorder="1" applyAlignment="1">
      <alignment horizontal="center" wrapText="1"/>
    </xf>
    <xf numFmtId="180" fontId="5" fillId="32" borderId="114" xfId="0" applyNumberFormat="1" applyFont="1" applyFill="1" applyBorder="1" applyAlignment="1">
      <alignment horizontal="center" vertical="top"/>
    </xf>
    <xf numFmtId="176" fontId="34" fillId="0" borderId="115" xfId="29" applyNumberFormat="1" applyFont="1" applyFill="1" applyBorder="1" applyAlignment="1">
      <alignment vertical="center"/>
    </xf>
    <xf numFmtId="41" fontId="2" fillId="25" borderId="55" xfId="33" applyFont="1" applyFill="1" applyBorder="1">
      <alignment vertical="center"/>
    </xf>
    <xf numFmtId="41" fontId="7" fillId="0" borderId="42" xfId="33" applyFont="1" applyBorder="1" applyAlignment="1">
      <alignment horizontal="center" vertical="center"/>
    </xf>
    <xf numFmtId="41" fontId="7" fillId="0" borderId="58" xfId="33" applyFont="1" applyBorder="1" applyAlignment="1">
      <alignment horizontal="center" vertical="center"/>
    </xf>
    <xf numFmtId="41" fontId="7" fillId="0" borderId="116" xfId="33" applyFont="1" applyBorder="1" applyAlignment="1">
      <alignment horizontal="center" vertical="center"/>
    </xf>
    <xf numFmtId="41" fontId="7" fillId="0" borderId="117" xfId="33" applyFont="1" applyBorder="1" applyAlignment="1">
      <alignment horizontal="center" vertical="center"/>
    </xf>
    <xf numFmtId="41" fontId="2" fillId="33" borderId="56" xfId="33" applyFont="1" applyFill="1" applyBorder="1">
      <alignment vertical="center"/>
    </xf>
    <xf numFmtId="41" fontId="2" fillId="33" borderId="56" xfId="0" applyNumberFormat="1" applyFont="1" applyFill="1" applyBorder="1">
      <alignment vertical="center"/>
    </xf>
    <xf numFmtId="41" fontId="54" fillId="0" borderId="0" xfId="33" applyFont="1">
      <alignment vertical="center"/>
    </xf>
    <xf numFmtId="41" fontId="54" fillId="27" borderId="95" xfId="33" applyFont="1" applyFill="1" applyBorder="1">
      <alignment vertical="center"/>
    </xf>
    <xf numFmtId="176" fontId="34" fillId="0" borderId="55" xfId="29" applyNumberFormat="1" applyFont="1" applyFill="1" applyBorder="1" applyAlignment="1">
      <alignment vertical="center"/>
    </xf>
    <xf numFmtId="176" fontId="34" fillId="0" borderId="115" xfId="29" applyNumberFormat="1" applyFont="1" applyBorder="1" applyAlignment="1">
      <alignment vertical="center"/>
    </xf>
    <xf numFmtId="41" fontId="0" fillId="0" borderId="0" xfId="0" applyNumberFormat="1">
      <alignment vertical="center"/>
    </xf>
    <xf numFmtId="177" fontId="4" fillId="32" borderId="111" xfId="33" applyNumberFormat="1" applyFont="1" applyFill="1" applyBorder="1" applyAlignment="1">
      <alignment horizontal="center" vertical="center"/>
    </xf>
    <xf numFmtId="177" fontId="4" fillId="26" borderId="65" xfId="33" applyNumberFormat="1" applyFont="1" applyFill="1" applyBorder="1" applyAlignment="1">
      <alignment horizontal="center" vertical="center"/>
    </xf>
    <xf numFmtId="176" fontId="4" fillId="0" borderId="73" xfId="29" applyNumberFormat="1" applyFont="1" applyBorder="1" applyAlignment="1">
      <alignment horizontal="center" vertical="center"/>
    </xf>
    <xf numFmtId="176" fontId="4" fillId="0" borderId="118" xfId="29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177" fontId="4" fillId="32" borderId="119" xfId="33" applyNumberFormat="1" applyFont="1" applyFill="1" applyBorder="1" applyAlignment="1">
      <alignment horizontal="center" vertical="center"/>
    </xf>
    <xf numFmtId="176" fontId="4" fillId="0" borderId="120" xfId="29" applyNumberFormat="1" applyFont="1" applyFill="1" applyBorder="1" applyAlignment="1">
      <alignment horizontal="center" vertical="center"/>
    </xf>
    <xf numFmtId="183" fontId="4" fillId="32" borderId="64" xfId="0" applyNumberFormat="1" applyFont="1" applyFill="1" applyBorder="1" applyAlignment="1">
      <alignment horizontal="center"/>
    </xf>
    <xf numFmtId="179" fontId="4" fillId="32" borderId="65" xfId="0" applyNumberFormat="1" applyFont="1" applyFill="1" applyBorder="1" applyAlignment="1">
      <alignment horizontal="center" vertical="top"/>
    </xf>
    <xf numFmtId="41" fontId="35" fillId="0" borderId="108" xfId="33" applyFont="1" applyBorder="1" applyAlignment="1">
      <alignment horizontal="right" vertical="center"/>
    </xf>
    <xf numFmtId="41" fontId="35" fillId="27" borderId="46" xfId="33" applyFont="1" applyFill="1" applyBorder="1">
      <alignment vertical="center"/>
    </xf>
    <xf numFmtId="41" fontId="35" fillId="0" borderId="0" xfId="33" applyFont="1">
      <alignment vertical="center"/>
    </xf>
    <xf numFmtId="177" fontId="5" fillId="33" borderId="0" xfId="33" applyNumberFormat="1" applyFont="1" applyFill="1" applyBorder="1" applyAlignment="1">
      <alignment horizontal="center" vertical="center"/>
    </xf>
    <xf numFmtId="176" fontId="4" fillId="33" borderId="0" xfId="29" applyNumberFormat="1" applyFont="1" applyFill="1" applyBorder="1" applyAlignment="1">
      <alignment horizontal="center" vertical="center"/>
    </xf>
    <xf numFmtId="41" fontId="7" fillId="25" borderId="121" xfId="33" applyFont="1" applyFill="1" applyBorder="1" applyAlignment="1">
      <alignment horizontal="center" vertical="center"/>
    </xf>
    <xf numFmtId="41" fontId="7" fillId="26" borderId="118" xfId="33" applyFont="1" applyFill="1" applyBorder="1" applyAlignment="1">
      <alignment horizontal="center" vertical="center"/>
    </xf>
    <xf numFmtId="176" fontId="34" fillId="0" borderId="101" xfId="29" applyNumberFormat="1" applyFont="1" applyFill="1" applyBorder="1" applyAlignment="1">
      <alignment vertical="center"/>
    </xf>
    <xf numFmtId="176" fontId="54" fillId="0" borderId="75" xfId="29" applyNumberFormat="1" applyFont="1" applyFill="1" applyBorder="1" applyAlignment="1">
      <alignment vertical="center"/>
    </xf>
    <xf numFmtId="176" fontId="34" fillId="27" borderId="122" xfId="29" applyNumberFormat="1" applyFont="1" applyFill="1" applyBorder="1" applyAlignment="1">
      <alignment vertical="center"/>
    </xf>
    <xf numFmtId="176" fontId="34" fillId="0" borderId="54" xfId="29" applyNumberFormat="1" applyFont="1" applyBorder="1" applyAlignment="1">
      <alignment vertical="center"/>
    </xf>
    <xf numFmtId="176" fontId="34" fillId="0" borderId="53" xfId="29" applyNumberFormat="1" applyFont="1" applyFill="1" applyBorder="1" applyAlignment="1">
      <alignment vertical="center"/>
    </xf>
    <xf numFmtId="0" fontId="52" fillId="34" borderId="86" xfId="0" applyFont="1" applyFill="1" applyBorder="1" applyAlignment="1">
      <alignment horizontal="center" vertical="center" wrapText="1"/>
    </xf>
    <xf numFmtId="179" fontId="52" fillId="34" borderId="38" xfId="0" applyNumberFormat="1" applyFont="1" applyFill="1" applyBorder="1" applyAlignment="1">
      <alignment horizontal="center" vertical="center"/>
    </xf>
    <xf numFmtId="0" fontId="52" fillId="34" borderId="123" xfId="0" quotePrefix="1" applyFont="1" applyFill="1" applyBorder="1" applyAlignment="1">
      <alignment horizontal="center" vertical="center" wrapText="1"/>
    </xf>
    <xf numFmtId="179" fontId="52" fillId="34" borderId="124" xfId="0" quotePrefix="1" applyNumberFormat="1" applyFont="1" applyFill="1" applyBorder="1" applyAlignment="1">
      <alignment horizontal="center" vertical="center"/>
    </xf>
    <xf numFmtId="179" fontId="29" fillId="28" borderId="124" xfId="0" applyNumberFormat="1" applyFont="1" applyFill="1" applyBorder="1" applyAlignment="1">
      <alignment horizontal="center" vertical="center"/>
    </xf>
    <xf numFmtId="179" fontId="29" fillId="28" borderId="124" xfId="0" quotePrefix="1" applyNumberFormat="1" applyFont="1" applyFill="1" applyBorder="1" applyAlignment="1">
      <alignment horizontal="center" vertical="center"/>
    </xf>
    <xf numFmtId="0" fontId="29" fillId="28" borderId="123" xfId="0" applyFont="1" applyFill="1" applyBorder="1" applyAlignment="1">
      <alignment horizontal="center" vertical="center" wrapText="1"/>
    </xf>
    <xf numFmtId="0" fontId="29" fillId="28" borderId="123" xfId="0" quotePrefix="1" applyFont="1" applyFill="1" applyBorder="1" applyAlignment="1">
      <alignment horizontal="center" vertical="center" wrapText="1"/>
    </xf>
    <xf numFmtId="176" fontId="34" fillId="29" borderId="0" xfId="29" applyNumberFormat="1" applyFont="1" applyFill="1" applyBorder="1" applyAlignment="1">
      <alignment vertical="center"/>
    </xf>
    <xf numFmtId="41" fontId="59" fillId="27" borderId="125" xfId="33" applyFont="1" applyFill="1" applyBorder="1" applyAlignment="1">
      <alignment vertical="center"/>
    </xf>
    <xf numFmtId="176" fontId="34" fillId="27" borderId="126" xfId="29" applyNumberFormat="1" applyFont="1" applyFill="1" applyBorder="1" applyAlignment="1">
      <alignment vertical="center"/>
    </xf>
    <xf numFmtId="176" fontId="34" fillId="27" borderId="120" xfId="29" applyNumberFormat="1" applyFont="1" applyFill="1" applyBorder="1" applyAlignment="1">
      <alignment vertical="center"/>
    </xf>
    <xf numFmtId="41" fontId="54" fillId="27" borderId="127" xfId="33" applyFont="1" applyFill="1" applyBorder="1">
      <alignment vertical="center"/>
    </xf>
    <xf numFmtId="41" fontId="57" fillId="0" borderId="128" xfId="33" applyFont="1" applyBorder="1">
      <alignment vertical="center"/>
    </xf>
    <xf numFmtId="41" fontId="57" fillId="0" borderId="129" xfId="33" applyFont="1" applyBorder="1">
      <alignment vertical="center"/>
    </xf>
    <xf numFmtId="41" fontId="57" fillId="0" borderId="130" xfId="33" applyFont="1" applyBorder="1">
      <alignment vertical="center"/>
    </xf>
    <xf numFmtId="41" fontId="35" fillId="0" borderId="107" xfId="33" applyFont="1" applyBorder="1" applyAlignment="1">
      <alignment vertical="center"/>
    </xf>
    <xf numFmtId="41" fontId="61" fillId="0" borderId="86" xfId="33" applyFont="1" applyFill="1" applyBorder="1" applyAlignment="1">
      <alignment vertical="center"/>
    </xf>
    <xf numFmtId="41" fontId="59" fillId="0" borderId="75" xfId="33" applyFont="1" applyFill="1" applyBorder="1" applyAlignment="1">
      <alignment vertical="center"/>
    </xf>
    <xf numFmtId="176" fontId="34" fillId="0" borderId="75" xfId="29" applyNumberFormat="1" applyFont="1" applyBorder="1" applyAlignment="1">
      <alignment vertical="center"/>
    </xf>
    <xf numFmtId="41" fontId="35" fillId="0" borderId="92" xfId="33" applyFont="1" applyBorder="1">
      <alignment vertical="center"/>
    </xf>
    <xf numFmtId="41" fontId="35" fillId="0" borderId="132" xfId="33" applyFont="1" applyBorder="1">
      <alignment vertical="center"/>
    </xf>
    <xf numFmtId="41" fontId="35" fillId="0" borderId="95" xfId="33" applyFont="1" applyBorder="1">
      <alignment vertical="center"/>
    </xf>
    <xf numFmtId="41" fontId="35" fillId="0" borderId="107" xfId="33" applyFont="1" applyBorder="1">
      <alignment vertical="center"/>
    </xf>
    <xf numFmtId="41" fontId="35" fillId="0" borderId="85" xfId="33" applyFont="1" applyBorder="1">
      <alignment vertical="center"/>
    </xf>
    <xf numFmtId="41" fontId="35" fillId="0" borderId="109" xfId="33" applyFont="1" applyBorder="1">
      <alignment vertical="center"/>
    </xf>
    <xf numFmtId="41" fontId="35" fillId="0" borderId="46" xfId="33" applyFont="1" applyBorder="1">
      <alignment vertical="center"/>
    </xf>
    <xf numFmtId="41" fontId="35" fillId="0" borderId="97" xfId="33" applyFont="1" applyBorder="1">
      <alignment vertical="center"/>
    </xf>
    <xf numFmtId="41" fontId="35" fillId="27" borderId="110" xfId="33" applyFont="1" applyFill="1" applyBorder="1" applyAlignment="1">
      <alignment vertical="center"/>
    </xf>
    <xf numFmtId="41" fontId="54" fillId="27" borderId="102" xfId="33" applyFont="1" applyFill="1" applyBorder="1">
      <alignment vertical="center"/>
    </xf>
    <xf numFmtId="41" fontId="57" fillId="0" borderId="105" xfId="33" applyFont="1" applyBorder="1">
      <alignment vertical="center"/>
    </xf>
    <xf numFmtId="41" fontId="57" fillId="0" borderId="150" xfId="33" applyFont="1" applyBorder="1">
      <alignment vertical="center"/>
    </xf>
    <xf numFmtId="41" fontId="57" fillId="0" borderId="93" xfId="33" applyFont="1" applyBorder="1">
      <alignment vertical="center"/>
    </xf>
    <xf numFmtId="41" fontId="35" fillId="27" borderId="80" xfId="33" applyFont="1" applyFill="1" applyBorder="1">
      <alignment vertical="center"/>
    </xf>
    <xf numFmtId="41" fontId="56" fillId="0" borderId="119" xfId="0" applyNumberFormat="1" applyFont="1" applyBorder="1">
      <alignment vertical="center"/>
    </xf>
    <xf numFmtId="176" fontId="34" fillId="0" borderId="126" xfId="29" applyNumberFormat="1" applyFont="1" applyFill="1" applyBorder="1" applyAlignment="1">
      <alignment vertical="center"/>
    </xf>
    <xf numFmtId="176" fontId="61" fillId="0" borderId="147" xfId="29" applyNumberFormat="1" applyFont="1" applyFill="1" applyBorder="1" applyAlignment="1">
      <alignment vertical="center"/>
    </xf>
    <xf numFmtId="41" fontId="7" fillId="0" borderId="0" xfId="0" applyNumberFormat="1" applyFont="1">
      <alignment vertical="center"/>
    </xf>
    <xf numFmtId="41" fontId="7" fillId="0" borderId="50" xfId="33" applyFont="1" applyBorder="1" applyAlignment="1">
      <alignment horizontal="right" vertical="center"/>
    </xf>
    <xf numFmtId="41" fontId="2" fillId="0" borderId="0" xfId="0" applyNumberFormat="1" applyFont="1">
      <alignment vertical="center"/>
    </xf>
    <xf numFmtId="41" fontId="7" fillId="0" borderId="151" xfId="33" applyFont="1" applyBorder="1" applyAlignment="1">
      <alignment horizontal="center" vertical="center"/>
    </xf>
    <xf numFmtId="41" fontId="7" fillId="0" borderId="0" xfId="33" applyFont="1" applyAlignment="1">
      <alignment horizontal="center" vertical="center"/>
    </xf>
    <xf numFmtId="41" fontId="7" fillId="0" borderId="40" xfId="33" applyFont="1" applyBorder="1" applyAlignment="1">
      <alignment horizontal="center" vertical="center"/>
    </xf>
    <xf numFmtId="41" fontId="59" fillId="0" borderId="107" xfId="33" applyFont="1" applyBorder="1">
      <alignment vertical="center"/>
    </xf>
    <xf numFmtId="41" fontId="59" fillId="0" borderId="85" xfId="33" applyFont="1" applyBorder="1">
      <alignment vertical="center"/>
    </xf>
    <xf numFmtId="41" fontId="59" fillId="0" borderId="109" xfId="33" applyFont="1" applyBorder="1">
      <alignment vertical="center"/>
    </xf>
    <xf numFmtId="41" fontId="59" fillId="0" borderId="46" xfId="33" applyFont="1" applyBorder="1">
      <alignment vertical="center"/>
    </xf>
    <xf numFmtId="41" fontId="35" fillId="27" borderId="46" xfId="33" applyFont="1" applyFill="1" applyBorder="1" applyAlignment="1">
      <alignment vertical="center"/>
    </xf>
    <xf numFmtId="41" fontId="28" fillId="0" borderId="40" xfId="0" applyNumberFormat="1" applyFont="1" applyBorder="1" applyAlignment="1">
      <alignment vertical="center"/>
    </xf>
    <xf numFmtId="41" fontId="35" fillId="27" borderId="152" xfId="33" applyFont="1" applyFill="1" applyBorder="1" applyAlignment="1">
      <alignment vertical="center"/>
    </xf>
    <xf numFmtId="41" fontId="56" fillId="0" borderId="25" xfId="0" applyNumberFormat="1" applyFont="1" applyBorder="1">
      <alignment vertical="center"/>
    </xf>
    <xf numFmtId="41" fontId="54" fillId="27" borderId="86" xfId="33" applyFont="1" applyFill="1" applyBorder="1">
      <alignment vertical="center"/>
    </xf>
    <xf numFmtId="41" fontId="54" fillId="27" borderId="153" xfId="33" applyFont="1" applyFill="1" applyBorder="1">
      <alignment vertical="center"/>
    </xf>
    <xf numFmtId="41" fontId="57" fillId="0" borderId="154" xfId="33" applyFont="1" applyBorder="1">
      <alignment vertical="center"/>
    </xf>
    <xf numFmtId="41" fontId="57" fillId="0" borderId="155" xfId="33" applyFont="1" applyBorder="1">
      <alignment vertical="center"/>
    </xf>
    <xf numFmtId="176" fontId="54" fillId="0" borderId="0" xfId="29" applyNumberFormat="1" applyFont="1" applyFill="1" applyBorder="1" applyAlignment="1">
      <alignment vertical="center"/>
    </xf>
    <xf numFmtId="0" fontId="40" fillId="0" borderId="40" xfId="46" applyFont="1" applyBorder="1" applyAlignment="1">
      <alignment horizontal="center" vertical="center"/>
    </xf>
    <xf numFmtId="41" fontId="33" fillId="0" borderId="40" xfId="46" applyNumberFormat="1" applyFont="1" applyBorder="1" applyAlignment="1">
      <alignment vertical="center"/>
    </xf>
    <xf numFmtId="0" fontId="37" fillId="0" borderId="40" xfId="0" applyFont="1" applyBorder="1" applyAlignment="1">
      <alignment vertical="center"/>
    </xf>
    <xf numFmtId="176" fontId="34" fillId="27" borderId="96" xfId="29" applyNumberFormat="1" applyFont="1" applyFill="1" applyBorder="1" applyAlignment="1">
      <alignment vertical="center"/>
    </xf>
    <xf numFmtId="176" fontId="34" fillId="0" borderId="138" xfId="29" applyNumberFormat="1" applyFont="1" applyBorder="1" applyAlignment="1">
      <alignment vertical="center"/>
    </xf>
    <xf numFmtId="41" fontId="35" fillId="27" borderId="85" xfId="33" applyFont="1" applyFill="1" applyBorder="1" applyAlignment="1">
      <alignment vertical="center"/>
    </xf>
    <xf numFmtId="0" fontId="28" fillId="0" borderId="86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176" fontId="34" fillId="29" borderId="101" xfId="29" applyNumberFormat="1" applyFont="1" applyFill="1" applyBorder="1" applyAlignment="1">
      <alignment vertical="center"/>
    </xf>
    <xf numFmtId="41" fontId="28" fillId="0" borderId="0" xfId="0" applyNumberFormat="1" applyFont="1" applyBorder="1" applyAlignment="1">
      <alignment vertical="center"/>
    </xf>
    <xf numFmtId="41" fontId="35" fillId="0" borderId="93" xfId="33" applyFont="1" applyBorder="1" applyAlignment="1">
      <alignment horizontal="right" vertical="center"/>
    </xf>
    <xf numFmtId="41" fontId="35" fillId="27" borderId="97" xfId="33" applyFont="1" applyFill="1" applyBorder="1" applyAlignment="1">
      <alignment vertical="center"/>
    </xf>
    <xf numFmtId="41" fontId="56" fillId="0" borderId="156" xfId="0" applyNumberFormat="1" applyFont="1" applyBorder="1">
      <alignment vertical="center"/>
    </xf>
    <xf numFmtId="176" fontId="34" fillId="33" borderId="103" xfId="29" applyNumberFormat="1" applyFont="1" applyFill="1" applyBorder="1" applyAlignment="1">
      <alignment vertical="center"/>
    </xf>
    <xf numFmtId="0" fontId="4" fillId="0" borderId="133" xfId="0" applyFont="1" applyBorder="1" applyAlignment="1">
      <alignment horizontal="center" vertical="center"/>
    </xf>
    <xf numFmtId="0" fontId="4" fillId="0" borderId="134" xfId="0" applyFont="1" applyBorder="1" applyAlignment="1">
      <alignment horizontal="center" vertical="center"/>
    </xf>
    <xf numFmtId="49" fontId="4" fillId="0" borderId="99" xfId="0" applyNumberFormat="1" applyFont="1" applyBorder="1" applyAlignment="1">
      <alignment horizontal="center" vertical="center"/>
    </xf>
    <xf numFmtId="49" fontId="4" fillId="0" borderId="100" xfId="0" applyNumberFormat="1" applyFont="1" applyBorder="1" applyAlignment="1">
      <alignment horizontal="center" vertical="center"/>
    </xf>
    <xf numFmtId="49" fontId="4" fillId="0" borderId="135" xfId="0" applyNumberFormat="1" applyFont="1" applyBorder="1" applyAlignment="1">
      <alignment horizontal="center" vertical="center"/>
    </xf>
    <xf numFmtId="49" fontId="4" fillId="0" borderId="70" xfId="0" applyNumberFormat="1" applyFont="1" applyBorder="1" applyAlignment="1">
      <alignment horizontal="center" vertical="center"/>
    </xf>
    <xf numFmtId="184" fontId="3" fillId="0" borderId="0" xfId="0" applyNumberFormat="1" applyFont="1" applyAlignment="1">
      <alignment horizontal="left" vertical="center"/>
    </xf>
    <xf numFmtId="49" fontId="4" fillId="0" borderId="136" xfId="0" applyNumberFormat="1" applyFont="1" applyBorder="1" applyAlignment="1">
      <alignment horizontal="center" vertical="center" wrapText="1"/>
    </xf>
    <xf numFmtId="49" fontId="4" fillId="0" borderId="118" xfId="0" applyNumberFormat="1" applyFont="1" applyBorder="1" applyAlignment="1">
      <alignment horizontal="center" vertical="center" wrapText="1"/>
    </xf>
    <xf numFmtId="49" fontId="4" fillId="0" borderId="137" xfId="0" applyNumberFormat="1" applyFont="1" applyBorder="1" applyAlignment="1">
      <alignment horizontal="center" vertical="center" wrapText="1"/>
    </xf>
    <xf numFmtId="49" fontId="4" fillId="0" borderId="138" xfId="0" applyNumberFormat="1" applyFont="1" applyBorder="1" applyAlignment="1">
      <alignment horizontal="center" vertical="center" wrapText="1"/>
    </xf>
    <xf numFmtId="0" fontId="4" fillId="0" borderId="139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40" xfId="0" applyFont="1" applyBorder="1" applyAlignment="1">
      <alignment horizontal="center" vertical="center"/>
    </xf>
    <xf numFmtId="0" fontId="55" fillId="0" borderId="61" xfId="46" applyFont="1" applyFill="1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55" fillId="0" borderId="101" xfId="46" applyFont="1" applyFill="1" applyBorder="1" applyAlignment="1">
      <alignment horizontal="center" vertical="center"/>
    </xf>
    <xf numFmtId="0" fontId="55" fillId="0" borderId="53" xfId="46" applyFont="1" applyFill="1" applyBorder="1" applyAlignment="1">
      <alignment horizontal="center" vertical="center"/>
    </xf>
    <xf numFmtId="0" fontId="55" fillId="0" borderId="146" xfId="46" applyFont="1" applyFill="1" applyBorder="1" applyAlignment="1">
      <alignment horizontal="center" vertical="center"/>
    </xf>
    <xf numFmtId="0" fontId="55" fillId="0" borderId="55" xfId="46" applyFont="1" applyFill="1" applyBorder="1" applyAlignment="1">
      <alignment horizontal="center" vertical="center"/>
    </xf>
    <xf numFmtId="0" fontId="55" fillId="0" borderId="59" xfId="46" applyFont="1" applyFill="1" applyBorder="1" applyAlignment="1">
      <alignment horizontal="center" vertical="center"/>
    </xf>
    <xf numFmtId="0" fontId="6" fillId="27" borderId="44" xfId="46" applyFont="1" applyFill="1" applyBorder="1" applyAlignment="1">
      <alignment horizontal="center" vertical="center"/>
    </xf>
    <xf numFmtId="0" fontId="6" fillId="27" borderId="86" xfId="46" applyFont="1" applyFill="1" applyBorder="1" applyAlignment="1">
      <alignment horizontal="center" vertical="center"/>
    </xf>
    <xf numFmtId="0" fontId="55" fillId="0" borderId="56" xfId="46" applyFont="1" applyFill="1" applyBorder="1" applyAlignment="1">
      <alignment horizontal="center" vertical="center"/>
    </xf>
    <xf numFmtId="0" fontId="51" fillId="30" borderId="50" xfId="46" quotePrefix="1" applyFont="1" applyFill="1" applyBorder="1" applyAlignment="1">
      <alignment horizontal="center" vertical="center" wrapText="1"/>
    </xf>
    <xf numFmtId="0" fontId="51" fillId="30" borderId="38" xfId="46" quotePrefix="1" applyFont="1" applyFill="1" applyBorder="1" applyAlignment="1">
      <alignment horizontal="center" vertical="center"/>
    </xf>
    <xf numFmtId="0" fontId="51" fillId="30" borderId="44" xfId="46" applyFont="1" applyFill="1" applyBorder="1" applyAlignment="1">
      <alignment horizontal="center" vertical="center"/>
    </xf>
    <xf numFmtId="0" fontId="51" fillId="30" borderId="86" xfId="46" applyFont="1" applyFill="1" applyBorder="1" applyAlignment="1">
      <alignment horizontal="center" vertical="center"/>
    </xf>
    <xf numFmtId="0" fontId="51" fillId="30" borderId="40" xfId="46" applyFont="1" applyFill="1" applyBorder="1" applyAlignment="1">
      <alignment horizontal="center" vertical="center"/>
    </xf>
    <xf numFmtId="0" fontId="51" fillId="30" borderId="0" xfId="46" applyFont="1" applyFill="1" applyBorder="1" applyAlignment="1">
      <alignment horizontal="center" vertical="center"/>
    </xf>
    <xf numFmtId="0" fontId="53" fillId="30" borderId="147" xfId="46" applyFont="1" applyFill="1" applyBorder="1" applyAlignment="1">
      <alignment horizontal="center" vertical="center"/>
    </xf>
    <xf numFmtId="0" fontId="53" fillId="30" borderId="100" xfId="46" applyFont="1" applyFill="1" applyBorder="1" applyAlignment="1">
      <alignment horizontal="center" vertical="center"/>
    </xf>
    <xf numFmtId="0" fontId="51" fillId="30" borderId="99" xfId="46" quotePrefix="1" applyFont="1" applyFill="1" applyBorder="1" applyAlignment="1">
      <alignment horizontal="center" vertical="center" wrapText="1"/>
    </xf>
    <xf numFmtId="0" fontId="51" fillId="30" borderId="46" xfId="46" quotePrefix="1" applyFont="1" applyFill="1" applyBorder="1" applyAlignment="1">
      <alignment horizontal="center" vertical="center" wrapText="1"/>
    </xf>
    <xf numFmtId="0" fontId="58" fillId="0" borderId="15" xfId="0" applyFont="1" applyFill="1" applyBorder="1" applyAlignment="1">
      <alignment horizontal="center" vertical="center" wrapText="1"/>
    </xf>
    <xf numFmtId="0" fontId="58" fillId="0" borderId="75" xfId="0" applyFont="1" applyFill="1" applyBorder="1" applyAlignment="1">
      <alignment horizontal="center" vertical="center" wrapText="1"/>
    </xf>
    <xf numFmtId="0" fontId="58" fillId="0" borderId="29" xfId="0" applyFont="1" applyFill="1" applyBorder="1" applyAlignment="1">
      <alignment horizontal="center" vertical="center" wrapText="1"/>
    </xf>
    <xf numFmtId="0" fontId="6" fillId="27" borderId="87" xfId="46" applyFont="1" applyFill="1" applyBorder="1" applyAlignment="1">
      <alignment horizontal="center" vertical="center"/>
    </xf>
    <xf numFmtId="0" fontId="55" fillId="0" borderId="131" xfId="46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quotePrefix="1" applyFont="1" applyAlignment="1">
      <alignment vertical="center"/>
    </xf>
    <xf numFmtId="0" fontId="29" fillId="28" borderId="44" xfId="0" applyFont="1" applyFill="1" applyBorder="1" applyAlignment="1">
      <alignment horizontal="center" vertical="center"/>
    </xf>
    <xf numFmtId="0" fontId="29" fillId="28" borderId="86" xfId="0" applyFont="1" applyFill="1" applyBorder="1" applyAlignment="1">
      <alignment horizontal="center" vertical="center"/>
    </xf>
    <xf numFmtId="0" fontId="29" fillId="28" borderId="45" xfId="0" applyFont="1" applyFill="1" applyBorder="1" applyAlignment="1">
      <alignment horizontal="center" vertical="center"/>
    </xf>
    <xf numFmtId="0" fontId="29" fillId="28" borderId="38" xfId="0" applyFont="1" applyFill="1" applyBorder="1" applyAlignment="1">
      <alignment horizontal="center" vertical="center"/>
    </xf>
    <xf numFmtId="0" fontId="30" fillId="30" borderId="85" xfId="0" quotePrefix="1" applyFont="1" applyFill="1" applyBorder="1" applyAlignment="1">
      <alignment horizontal="center" vertical="center" wrapText="1"/>
    </xf>
    <xf numFmtId="0" fontId="30" fillId="30" borderId="46" xfId="0" applyFont="1" applyFill="1" applyBorder="1" applyAlignment="1">
      <alignment horizontal="center" vertical="center" wrapText="1"/>
    </xf>
    <xf numFmtId="0" fontId="29" fillId="28" borderId="50" xfId="0" quotePrefix="1" applyFont="1" applyFill="1" applyBorder="1" applyAlignment="1">
      <alignment horizontal="center" vertical="center" wrapText="1"/>
    </xf>
    <xf numFmtId="0" fontId="29" fillId="28" borderId="21" xfId="0" applyFont="1" applyFill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6" fillId="0" borderId="140" xfId="0" applyFont="1" applyBorder="1" applyAlignment="1">
      <alignment horizontal="center" vertical="center"/>
    </xf>
    <xf numFmtId="0" fontId="8" fillId="0" borderId="40" xfId="0" quotePrefix="1" applyFont="1" applyBorder="1" applyAlignment="1">
      <alignment horizontal="center" vertical="center" wrapText="1"/>
    </xf>
    <xf numFmtId="0" fontId="36" fillId="0" borderId="38" xfId="0" applyFont="1" applyBorder="1" applyAlignment="1">
      <alignment horizontal="center" vertical="center"/>
    </xf>
    <xf numFmtId="178" fontId="46" fillId="0" borderId="99" xfId="0" applyNumberFormat="1" applyFont="1" applyBorder="1" applyAlignment="1">
      <alignment horizontal="center" vertical="center" wrapText="1"/>
    </xf>
    <xf numFmtId="178" fontId="46" fillId="0" borderId="107" xfId="0" applyNumberFormat="1" applyFont="1" applyBorder="1" applyAlignment="1">
      <alignment horizontal="center" vertical="center" wrapText="1"/>
    </xf>
    <xf numFmtId="178" fontId="46" fillId="0" borderId="135" xfId="0" applyNumberFormat="1" applyFont="1" applyBorder="1" applyAlignment="1">
      <alignment horizontal="center" vertical="center" wrapText="1"/>
    </xf>
    <xf numFmtId="178" fontId="7" fillId="0" borderId="133" xfId="0" applyNumberFormat="1" applyFont="1" applyBorder="1" applyAlignment="1">
      <alignment horizontal="center" vertical="center"/>
    </xf>
    <xf numFmtId="178" fontId="7" fillId="0" borderId="141" xfId="0" applyNumberFormat="1" applyFont="1" applyBorder="1" applyAlignment="1">
      <alignment horizontal="center" vertical="center"/>
    </xf>
    <xf numFmtId="178" fontId="7" fillId="0" borderId="99" xfId="0" applyNumberFormat="1" applyFont="1" applyBorder="1" applyAlignment="1">
      <alignment horizontal="center" vertical="center" wrapText="1"/>
    </xf>
    <xf numFmtId="178" fontId="7" fillId="0" borderId="107" xfId="0" applyNumberFormat="1" applyFont="1" applyBorder="1" applyAlignment="1">
      <alignment horizontal="center" vertical="center" wrapText="1"/>
    </xf>
    <xf numFmtId="178" fontId="7" fillId="0" borderId="135" xfId="0" applyNumberFormat="1" applyFont="1" applyBorder="1" applyAlignment="1">
      <alignment horizontal="center" vertical="center" wrapText="1"/>
    </xf>
    <xf numFmtId="178" fontId="7" fillId="0" borderId="99" xfId="0" applyNumberFormat="1" applyFont="1" applyBorder="1" applyAlignment="1">
      <alignment horizontal="center" vertical="center"/>
    </xf>
    <xf numFmtId="178" fontId="7" fillId="0" borderId="107" xfId="0" applyNumberFormat="1" applyFont="1" applyBorder="1" applyAlignment="1">
      <alignment horizontal="center" vertical="center"/>
    </xf>
    <xf numFmtId="178" fontId="7" fillId="0" borderId="135" xfId="0" applyNumberFormat="1" applyFont="1" applyBorder="1" applyAlignment="1">
      <alignment horizontal="center" vertical="center"/>
    </xf>
    <xf numFmtId="178" fontId="7" fillId="0" borderId="143" xfId="0" applyNumberFormat="1" applyFont="1" applyBorder="1" applyAlignment="1">
      <alignment horizontal="center" vertical="center"/>
    </xf>
    <xf numFmtId="178" fontId="7" fillId="0" borderId="144" xfId="0" applyNumberFormat="1" applyFont="1" applyBorder="1" applyAlignment="1">
      <alignment horizontal="center" vertical="center"/>
    </xf>
    <xf numFmtId="178" fontId="7" fillId="0" borderId="145" xfId="0" applyNumberFormat="1" applyFont="1" applyBorder="1" applyAlignment="1">
      <alignment horizontal="center" vertical="center" wrapText="1"/>
    </xf>
    <xf numFmtId="178" fontId="7" fillId="0" borderId="92" xfId="0" applyNumberFormat="1" applyFont="1" applyBorder="1" applyAlignment="1">
      <alignment horizontal="center" vertical="center" wrapText="1"/>
    </xf>
    <xf numFmtId="178" fontId="7" fillId="0" borderId="46" xfId="0" applyNumberFormat="1" applyFont="1" applyBorder="1" applyAlignment="1">
      <alignment horizontal="center" vertical="center"/>
    </xf>
    <xf numFmtId="178" fontId="7" fillId="26" borderId="133" xfId="0" applyNumberFormat="1" applyFont="1" applyFill="1" applyBorder="1" applyAlignment="1">
      <alignment horizontal="center" vertical="center"/>
    </xf>
    <xf numFmtId="178" fontId="7" fillId="26" borderId="141" xfId="0" applyNumberFormat="1" applyFont="1" applyFill="1" applyBorder="1" applyAlignment="1">
      <alignment horizontal="center" vertical="center"/>
    </xf>
    <xf numFmtId="178" fontId="7" fillId="26" borderId="12" xfId="0" applyNumberFormat="1" applyFont="1" applyFill="1" applyBorder="1" applyAlignment="1">
      <alignment horizontal="center" vertical="center"/>
    </xf>
    <xf numFmtId="178" fontId="7" fillId="26" borderId="142" xfId="0" applyNumberFormat="1" applyFont="1" applyFill="1" applyBorder="1" applyAlignment="1">
      <alignment horizontal="center" vertical="center"/>
    </xf>
    <xf numFmtId="178" fontId="7" fillId="0" borderId="46" xfId="0" applyNumberFormat="1" applyFont="1" applyBorder="1" applyAlignment="1">
      <alignment horizontal="center" vertical="center" wrapText="1"/>
    </xf>
    <xf numFmtId="178" fontId="7" fillId="0" borderId="85" xfId="0" applyNumberFormat="1" applyFont="1" applyBorder="1" applyAlignment="1">
      <alignment horizontal="center" vertical="center"/>
    </xf>
    <xf numFmtId="0" fontId="5" fillId="24" borderId="148" xfId="0" applyFont="1" applyFill="1" applyBorder="1" applyAlignment="1">
      <alignment horizontal="center" vertical="center"/>
    </xf>
    <xf numFmtId="0" fontId="5" fillId="24" borderId="83" xfId="0" applyFont="1" applyFill="1" applyBorder="1" applyAlignment="1">
      <alignment horizontal="center" vertical="center"/>
    </xf>
    <xf numFmtId="0" fontId="4" fillId="0" borderId="145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149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4" fillId="0" borderId="135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5" fillId="27" borderId="148" xfId="0" applyFont="1" applyFill="1" applyBorder="1" applyAlignment="1">
      <alignment horizontal="center" vertical="center"/>
    </xf>
    <xf numFmtId="0" fontId="5" fillId="27" borderId="83" xfId="0" applyFont="1" applyFill="1" applyBorder="1" applyAlignment="1">
      <alignment horizontal="center" vertical="center"/>
    </xf>
    <xf numFmtId="0" fontId="5" fillId="31" borderId="148" xfId="0" applyFont="1" applyFill="1" applyBorder="1" applyAlignment="1">
      <alignment horizontal="center" vertical="center"/>
    </xf>
    <xf numFmtId="0" fontId="5" fillId="31" borderId="83" xfId="0" applyFont="1" applyFill="1" applyBorder="1" applyAlignment="1">
      <alignment horizontal="center" vertical="center"/>
    </xf>
  </cellXfs>
  <cellStyles count="47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백분율" xfId="29" builtinId="5"/>
    <cellStyle name="보통" xfId="30" builtinId="28" customBuiltin="1"/>
    <cellStyle name="설명 텍스트" xfId="31" builtinId="53" customBuiltin="1"/>
    <cellStyle name="셀 확인" xfId="32" builtinId="23" customBuiltin="1"/>
    <cellStyle name="쉼표 [0]" xfId="33" builtinId="6"/>
    <cellStyle name="쉼표 [0] 2" xfId="34" xr:uid="{00000000-0005-0000-0000-000021000000}"/>
    <cellStyle name="연결된 셀" xfId="35" builtinId="24" customBuiltin="1"/>
    <cellStyle name="요약" xfId="36" builtinId="25" customBuiltin="1"/>
    <cellStyle name="입력" xfId="37" builtinId="20" customBuiltin="1"/>
    <cellStyle name="제목" xfId="38" builtinId="15" customBuiltin="1"/>
    <cellStyle name="제목 1" xfId="39" builtinId="16" customBuiltin="1"/>
    <cellStyle name="제목 2" xfId="40" builtinId="17" customBuiltin="1"/>
    <cellStyle name="제목 3" xfId="41" builtinId="18" customBuiltin="1"/>
    <cellStyle name="제목 4" xfId="42" builtinId="19" customBuiltin="1"/>
    <cellStyle name="좋음" xfId="43" builtinId="26" customBuiltin="1"/>
    <cellStyle name="출력" xfId="44" builtinId="21" customBuiltin="1"/>
    <cellStyle name="표준" xfId="0" builtinId="0"/>
    <cellStyle name="표준 2" xfId="45" xr:uid="{00000000-0005-0000-0000-00002D000000}"/>
    <cellStyle name="표준_2007년 2월 현대실적 - 기아" xfId="46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41</xdr:row>
          <xdr:rowOff>15240</xdr:rowOff>
        </xdr:from>
        <xdr:to>
          <xdr:col>9</xdr:col>
          <xdr:colOff>532553</xdr:colOff>
          <xdr:row>58</xdr:row>
          <xdr:rowOff>106680</xdr:rowOff>
        </xdr:to>
        <xdr:pic>
          <xdr:nvPicPr>
            <xdr:cNvPr id="17727" name="그림 4">
              <a:extLst>
                <a:ext uri="{FF2B5EF4-FFF2-40B4-BE49-F238E27FC236}">
                  <a16:creationId xmlns:a16="http://schemas.microsoft.com/office/drawing/2014/main" id="{4FDB064C-1696-40B2-9356-31195315556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⊙카메라!$A$34:$E$48" spid="_x0000_s2196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75260" y="5730240"/>
              <a:ext cx="5425440" cy="32004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9</xdr:col>
          <xdr:colOff>540173</xdr:colOff>
          <xdr:row>40</xdr:row>
          <xdr:rowOff>106680</xdr:rowOff>
        </xdr:to>
        <xdr:pic>
          <xdr:nvPicPr>
            <xdr:cNvPr id="17728" name="그림 19">
              <a:extLst>
                <a:ext uri="{FF2B5EF4-FFF2-40B4-BE49-F238E27FC236}">
                  <a16:creationId xmlns:a16="http://schemas.microsoft.com/office/drawing/2014/main" id="{1F4A443B-891B-43E8-AF04-717C6B36029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⊙카메라!$A$18:$E$32" spid="_x0000_s2196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75260" y="2674620"/>
              <a:ext cx="5433060" cy="296418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9</xdr:col>
          <xdr:colOff>578273</xdr:colOff>
          <xdr:row>24</xdr:row>
          <xdr:rowOff>15240</xdr:rowOff>
        </xdr:to>
        <xdr:pic>
          <xdr:nvPicPr>
            <xdr:cNvPr id="12" name="그림 11">
              <a:extLst>
                <a:ext uri="{FF2B5EF4-FFF2-40B4-BE49-F238E27FC236}">
                  <a16:creationId xmlns:a16="http://schemas.microsoft.com/office/drawing/2014/main" id="{F1803A63-C120-4557-96BE-1529C0C7BE9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⊙카메라!$A$2:$E$16" spid="_x0000_s2196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75260" y="2674620"/>
              <a:ext cx="5471160" cy="28727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87"/>
  <sheetViews>
    <sheetView showGridLines="0" zoomScale="90" zoomScaleNormal="90" zoomScaleSheetLayoutView="85" workbookViewId="0">
      <pane ySplit="5" topLeftCell="A30" activePane="bottomLeft" state="frozen"/>
      <selection activeCell="P31" sqref="P31"/>
      <selection pane="bottomLeft" activeCell="P31" sqref="P31"/>
    </sheetView>
  </sheetViews>
  <sheetFormatPr defaultColWidth="8.796875" defaultRowHeight="14.4" x14ac:dyDescent="0.25"/>
  <cols>
    <col min="1" max="1" width="2.296875" customWidth="1"/>
    <col min="2" max="2" width="4.296875" style="1" customWidth="1"/>
    <col min="3" max="3" width="3.5" style="2" customWidth="1"/>
    <col min="4" max="4" width="9.59765625" style="2" customWidth="1"/>
    <col min="5" max="5" width="9.8984375" style="2" customWidth="1"/>
    <col min="6" max="6" width="8.296875" style="2" customWidth="1"/>
    <col min="7" max="7" width="9.8984375" style="2" customWidth="1"/>
    <col min="8" max="8" width="8.3984375" style="2" customWidth="1"/>
    <col min="9" max="9" width="10.296875" style="2" customWidth="1"/>
    <col min="10" max="10" width="10.296875" style="2" bestFit="1" customWidth="1"/>
    <col min="11" max="11" width="8.5" style="2" customWidth="1"/>
    <col min="12" max="12" width="3.3984375" customWidth="1"/>
  </cols>
  <sheetData>
    <row r="2" spans="1:11" ht="17.399999999999999" x14ac:dyDescent="0.25">
      <c r="B2" s="376" t="s">
        <v>222</v>
      </c>
      <c r="C2" s="376"/>
      <c r="D2" s="376"/>
      <c r="E2" s="376"/>
      <c r="F2" s="376"/>
      <c r="G2" s="376"/>
      <c r="H2" s="376"/>
      <c r="I2" s="376"/>
      <c r="J2" s="376"/>
      <c r="K2" s="376"/>
    </row>
    <row r="3" spans="1:11" ht="15" thickBot="1" x14ac:dyDescent="0.3"/>
    <row r="4" spans="1:11" s="4" customFormat="1" ht="18.75" customHeight="1" x14ac:dyDescent="0.15">
      <c r="B4" s="372" t="s">
        <v>166</v>
      </c>
      <c r="C4" s="373"/>
      <c r="D4" s="118">
        <v>2023</v>
      </c>
      <c r="E4" s="3">
        <f>D4-1</f>
        <v>2022</v>
      </c>
      <c r="F4" s="377" t="s">
        <v>46</v>
      </c>
      <c r="G4" s="286">
        <v>2022</v>
      </c>
      <c r="H4" s="379" t="s">
        <v>47</v>
      </c>
      <c r="I4" s="264">
        <f>D4</f>
        <v>2023</v>
      </c>
      <c r="J4" s="3">
        <f>I4-1</f>
        <v>2022</v>
      </c>
      <c r="K4" s="377" t="s">
        <v>112</v>
      </c>
    </row>
    <row r="5" spans="1:11" ht="18.75" customHeight="1" thickBot="1" x14ac:dyDescent="0.3">
      <c r="B5" s="374"/>
      <c r="C5" s="375"/>
      <c r="D5" s="124">
        <v>1</v>
      </c>
      <c r="E5" s="5">
        <f>D5</f>
        <v>1</v>
      </c>
      <c r="F5" s="378"/>
      <c r="G5" s="287">
        <f>IF(D5=1,12,D5-1)</f>
        <v>12</v>
      </c>
      <c r="H5" s="380"/>
      <c r="I5" s="265">
        <f>D5</f>
        <v>1</v>
      </c>
      <c r="J5" s="117">
        <f>D5</f>
        <v>1</v>
      </c>
      <c r="K5" s="378"/>
    </row>
    <row r="6" spans="1:11" ht="37.5" customHeight="1" x14ac:dyDescent="0.25">
      <c r="B6" s="381" t="s">
        <v>48</v>
      </c>
      <c r="C6" s="382"/>
      <c r="D6" s="253">
        <v>51503</v>
      </c>
      <c r="E6" s="211">
        <v>46205</v>
      </c>
      <c r="F6" s="281">
        <f>(D6-E6)/E6</f>
        <v>0.11466291526891029</v>
      </c>
      <c r="G6" s="279">
        <v>70387</v>
      </c>
      <c r="H6" s="212">
        <f>(D6-G6)/G6</f>
        <v>-0.26828817821472717</v>
      </c>
      <c r="I6" s="253">
        <v>51503</v>
      </c>
      <c r="J6" s="211">
        <v>46205</v>
      </c>
      <c r="K6" s="281">
        <f>(I6-J6)/J6</f>
        <v>0.11466291526891029</v>
      </c>
    </row>
    <row r="7" spans="1:11" ht="37.5" customHeight="1" thickBot="1" x14ac:dyDescent="0.3">
      <c r="B7" s="383" t="s">
        <v>118</v>
      </c>
      <c r="C7" s="384"/>
      <c r="D7" s="259">
        <v>254793</v>
      </c>
      <c r="E7" s="213">
        <v>236451</v>
      </c>
      <c r="F7" s="282">
        <f>(D7-E7)/E7</f>
        <v>7.7572097390156941E-2</v>
      </c>
      <c r="G7" s="284">
        <v>275297</v>
      </c>
      <c r="H7" s="285">
        <f>(D7-G7)/G7</f>
        <v>-7.4479562072961206E-2</v>
      </c>
      <c r="I7" s="259">
        <v>254793</v>
      </c>
      <c r="J7" s="213">
        <v>236451</v>
      </c>
      <c r="K7" s="282">
        <f>(I7-J7)/J7</f>
        <v>7.7572097390156941E-2</v>
      </c>
    </row>
    <row r="8" spans="1:11" ht="37.5" customHeight="1" thickBot="1" x14ac:dyDescent="0.3">
      <c r="B8" s="370" t="s">
        <v>49</v>
      </c>
      <c r="C8" s="371"/>
      <c r="D8" s="141">
        <f>SUM(D6:D7)</f>
        <v>306296</v>
      </c>
      <c r="E8" s="142">
        <f>SUM(E6:E7)</f>
        <v>282656</v>
      </c>
      <c r="F8" s="143">
        <f>(D8-E8)/E8</f>
        <v>8.3635231518170497E-2</v>
      </c>
      <c r="G8" s="280">
        <f>SUM(G6:G7)</f>
        <v>345684</v>
      </c>
      <c r="H8" s="144">
        <f>(D8-G8)/G8</f>
        <v>-0.11394221311949641</v>
      </c>
      <c r="I8" s="141">
        <f>SUM(I6:I7)</f>
        <v>306296</v>
      </c>
      <c r="J8" s="142">
        <f>SUM(J6:J7)</f>
        <v>282656</v>
      </c>
      <c r="K8" s="143">
        <f>(I8-J8)/J8</f>
        <v>8.3635231518170497E-2</v>
      </c>
    </row>
    <row r="9" spans="1:11" ht="15" customHeight="1" x14ac:dyDescent="0.25">
      <c r="A9" s="196"/>
      <c r="B9" s="255"/>
      <c r="C9" s="255"/>
      <c r="D9" s="291"/>
      <c r="E9" s="256"/>
      <c r="F9" s="292"/>
      <c r="G9" s="256"/>
      <c r="H9" s="292"/>
      <c r="I9" s="291"/>
      <c r="J9" s="256"/>
      <c r="K9" s="292"/>
    </row>
    <row r="10" spans="1:11" ht="15" customHeight="1" x14ac:dyDescent="0.25">
      <c r="A10" s="196"/>
      <c r="B10" s="255"/>
      <c r="C10" s="255"/>
      <c r="D10" s="291"/>
      <c r="E10" s="256"/>
      <c r="F10" s="292"/>
      <c r="G10" s="256"/>
      <c r="H10" s="292"/>
      <c r="I10" s="291"/>
      <c r="J10" s="256"/>
      <c r="K10" s="292"/>
    </row>
    <row r="11" spans="1:11" ht="15" customHeight="1" x14ac:dyDescent="0.25">
      <c r="A11" s="196"/>
      <c r="B11" s="255"/>
      <c r="C11" s="255"/>
      <c r="D11" s="291"/>
      <c r="E11" s="256"/>
      <c r="F11" s="292"/>
      <c r="G11" s="256"/>
      <c r="H11" s="292"/>
      <c r="I11" s="291"/>
      <c r="J11" s="256"/>
      <c r="K11" s="292"/>
    </row>
    <row r="12" spans="1:11" ht="15" customHeight="1" x14ac:dyDescent="0.25">
      <c r="A12" s="196"/>
      <c r="B12" s="255"/>
      <c r="C12" s="255"/>
      <c r="D12" s="291"/>
      <c r="E12" s="256"/>
      <c r="F12" s="292"/>
      <c r="G12" s="256"/>
      <c r="H12" s="292"/>
      <c r="I12" s="291"/>
      <c r="J12" s="256"/>
      <c r="K12" s="292"/>
    </row>
    <row r="13" spans="1:11" ht="15" customHeight="1" x14ac:dyDescent="0.25">
      <c r="A13" s="196"/>
      <c r="B13" s="255"/>
      <c r="C13" s="255"/>
      <c r="D13" s="291"/>
      <c r="E13" s="256"/>
      <c r="F13" s="292"/>
      <c r="G13" s="256"/>
      <c r="H13" s="292"/>
      <c r="I13" s="291"/>
      <c r="J13" s="256"/>
      <c r="K13" s="292"/>
    </row>
    <row r="14" spans="1:11" ht="15" customHeight="1" x14ac:dyDescent="0.25">
      <c r="A14" s="196"/>
      <c r="B14" s="255"/>
      <c r="C14" s="255"/>
      <c r="D14" s="291"/>
      <c r="E14" s="256"/>
      <c r="F14" s="292"/>
      <c r="G14" s="256"/>
      <c r="H14" s="292"/>
      <c r="I14" s="291"/>
      <c r="J14" s="256"/>
      <c r="K14" s="292"/>
    </row>
    <row r="15" spans="1:11" ht="15" customHeight="1" x14ac:dyDescent="0.25">
      <c r="A15" s="196"/>
      <c r="B15" s="255"/>
      <c r="C15" s="255"/>
      <c r="D15" s="291"/>
      <c r="E15" s="256"/>
      <c r="F15" s="292"/>
      <c r="G15" s="256"/>
      <c r="H15" s="292"/>
      <c r="I15" s="291"/>
      <c r="J15" s="256"/>
      <c r="K15" s="292"/>
    </row>
    <row r="16" spans="1:11" ht="15" customHeight="1" x14ac:dyDescent="0.25">
      <c r="A16" s="196"/>
      <c r="B16" s="255"/>
      <c r="C16" s="255"/>
      <c r="D16" s="291"/>
      <c r="E16" s="256"/>
      <c r="F16" s="292"/>
      <c r="G16" s="256"/>
      <c r="H16" s="292"/>
      <c r="I16" s="291"/>
      <c r="J16" s="256"/>
      <c r="K16" s="292"/>
    </row>
    <row r="17" spans="1:11" ht="15" customHeight="1" x14ac:dyDescent="0.25">
      <c r="A17" s="196"/>
      <c r="B17" s="255"/>
      <c r="C17" s="255"/>
      <c r="D17" s="291"/>
      <c r="E17" s="256"/>
      <c r="F17" s="292"/>
      <c r="G17" s="256"/>
      <c r="H17" s="292"/>
      <c r="I17" s="291"/>
      <c r="J17" s="256"/>
      <c r="K17" s="292"/>
    </row>
    <row r="18" spans="1:11" ht="15" customHeight="1" x14ac:dyDescent="0.25">
      <c r="A18" s="196"/>
      <c r="B18" s="255"/>
      <c r="C18" s="255"/>
      <c r="D18" s="291"/>
      <c r="E18" s="256"/>
      <c r="F18" s="292"/>
      <c r="G18" s="256"/>
      <c r="H18" s="292"/>
      <c r="I18" s="291"/>
      <c r="J18" s="256"/>
      <c r="K18" s="292"/>
    </row>
    <row r="19" spans="1:11" ht="15" customHeight="1" x14ac:dyDescent="0.25">
      <c r="A19" s="196"/>
      <c r="B19" s="255"/>
      <c r="C19" s="255"/>
      <c r="D19" s="291"/>
      <c r="E19" s="256"/>
      <c r="F19" s="292"/>
      <c r="G19" s="256"/>
      <c r="H19" s="292"/>
      <c r="I19" s="291"/>
      <c r="J19" s="256"/>
      <c r="K19" s="292"/>
    </row>
    <row r="20" spans="1:11" ht="15" customHeight="1" x14ac:dyDescent="0.25">
      <c r="A20" s="196"/>
      <c r="B20" s="255"/>
      <c r="C20" s="255"/>
      <c r="D20" s="291"/>
      <c r="E20" s="256"/>
      <c r="F20" s="292"/>
      <c r="G20" s="256"/>
      <c r="H20" s="292"/>
      <c r="I20" s="291"/>
      <c r="J20" s="256"/>
      <c r="K20" s="292"/>
    </row>
    <row r="21" spans="1:11" ht="15" customHeight="1" x14ac:dyDescent="0.25">
      <c r="A21" s="196"/>
      <c r="B21" s="255"/>
      <c r="C21" s="255"/>
      <c r="D21" s="291"/>
      <c r="E21" s="256"/>
      <c r="F21" s="292"/>
      <c r="G21" s="256"/>
      <c r="H21" s="292"/>
      <c r="I21" s="291"/>
      <c r="J21" s="256"/>
      <c r="K21" s="292"/>
    </row>
    <row r="22" spans="1:11" ht="15" customHeight="1" x14ac:dyDescent="0.25">
      <c r="A22" s="196"/>
      <c r="B22" s="255"/>
      <c r="C22" s="255"/>
      <c r="D22" s="291"/>
      <c r="E22" s="256"/>
      <c r="F22" s="292"/>
      <c r="G22" s="256"/>
      <c r="H22" s="292"/>
      <c r="I22" s="291"/>
      <c r="J22" s="256"/>
      <c r="K22" s="292"/>
    </row>
    <row r="23" spans="1:11" ht="15" customHeight="1" x14ac:dyDescent="0.25">
      <c r="A23" s="196"/>
      <c r="B23" s="255"/>
      <c r="C23" s="255"/>
      <c r="D23" s="291"/>
      <c r="E23" s="256"/>
      <c r="F23" s="292"/>
      <c r="G23" s="256"/>
      <c r="H23" s="292"/>
      <c r="I23" s="291"/>
      <c r="J23" s="256"/>
      <c r="K23" s="292"/>
    </row>
    <row r="24" spans="1:11" ht="15" customHeight="1" x14ac:dyDescent="0.25">
      <c r="A24" s="196"/>
      <c r="B24" s="255"/>
      <c r="C24" s="255"/>
      <c r="D24" s="291"/>
      <c r="E24" s="256"/>
      <c r="F24" s="292"/>
      <c r="G24" s="256"/>
      <c r="H24" s="292"/>
      <c r="I24" s="291"/>
      <c r="J24" s="256"/>
      <c r="K24" s="292"/>
    </row>
    <row r="25" spans="1:11" ht="15" customHeight="1" x14ac:dyDescent="0.25">
      <c r="A25" s="196"/>
      <c r="B25" s="255"/>
      <c r="C25" s="255"/>
      <c r="D25" s="291"/>
      <c r="E25" s="256"/>
      <c r="F25" s="292"/>
      <c r="G25" s="256"/>
      <c r="H25" s="292"/>
      <c r="I25" s="291"/>
      <c r="J25" s="256"/>
      <c r="K25" s="292"/>
    </row>
    <row r="26" spans="1:11" ht="15" customHeight="1" x14ac:dyDescent="0.25">
      <c r="A26" s="196"/>
      <c r="B26" s="255"/>
      <c r="C26" s="255"/>
      <c r="D26" s="291"/>
      <c r="E26" s="256"/>
      <c r="F26" s="292"/>
      <c r="G26" s="256"/>
      <c r="H26" s="292"/>
      <c r="I26" s="291"/>
      <c r="J26" s="256"/>
      <c r="K26" s="292"/>
    </row>
    <row r="27" spans="1:11" ht="15" customHeight="1" x14ac:dyDescent="0.25">
      <c r="A27" s="196"/>
      <c r="B27" s="255"/>
      <c r="C27" s="255"/>
      <c r="D27" s="291"/>
      <c r="E27" s="256"/>
      <c r="F27" s="292"/>
      <c r="G27" s="256"/>
      <c r="H27" s="292"/>
      <c r="I27" s="291"/>
      <c r="J27" s="256"/>
      <c r="K27" s="292"/>
    </row>
    <row r="28" spans="1:11" ht="15" customHeight="1" x14ac:dyDescent="0.25">
      <c r="A28" s="196"/>
      <c r="B28" s="255"/>
      <c r="C28" s="255"/>
      <c r="D28" s="291"/>
      <c r="E28" s="256"/>
      <c r="F28" s="292"/>
      <c r="G28" s="256"/>
      <c r="H28" s="292"/>
      <c r="I28" s="291"/>
      <c r="J28" s="256"/>
      <c r="K28" s="292"/>
    </row>
    <row r="29" spans="1:11" ht="15" customHeight="1" x14ac:dyDescent="0.25">
      <c r="A29" s="196"/>
      <c r="B29" s="255"/>
      <c r="C29" s="255"/>
      <c r="D29" s="291"/>
      <c r="E29" s="256"/>
      <c r="F29" s="292"/>
      <c r="G29" s="256"/>
      <c r="H29" s="292"/>
      <c r="I29" s="291"/>
      <c r="J29" s="256"/>
      <c r="K29" s="292"/>
    </row>
    <row r="30" spans="1:11" ht="15" customHeight="1" x14ac:dyDescent="0.25">
      <c r="A30" s="196"/>
      <c r="B30" s="255"/>
      <c r="C30" s="255"/>
      <c r="D30" s="291"/>
      <c r="E30" s="256"/>
      <c r="F30" s="292"/>
      <c r="G30" s="256"/>
      <c r="H30" s="292"/>
      <c r="I30" s="291"/>
      <c r="J30" s="256"/>
      <c r="K30" s="292"/>
    </row>
    <row r="31" spans="1:11" ht="15" customHeight="1" x14ac:dyDescent="0.25">
      <c r="A31" s="196"/>
      <c r="B31" s="255"/>
      <c r="C31" s="255"/>
      <c r="D31" s="291"/>
      <c r="E31" s="256"/>
      <c r="F31" s="292"/>
      <c r="G31" s="256"/>
      <c r="H31" s="292"/>
      <c r="I31" s="291"/>
      <c r="J31" s="256"/>
      <c r="K31" s="292"/>
    </row>
    <row r="32" spans="1:11" ht="15" customHeight="1" x14ac:dyDescent="0.25">
      <c r="A32" s="196"/>
      <c r="B32" s="255"/>
      <c r="C32" s="255"/>
      <c r="D32" s="291"/>
      <c r="E32" s="256"/>
      <c r="F32" s="292"/>
      <c r="G32" s="256"/>
      <c r="H32" s="292"/>
      <c r="I32" s="291"/>
      <c r="J32" s="256"/>
      <c r="K32" s="292"/>
    </row>
    <row r="33" spans="1:11" ht="15" customHeight="1" x14ac:dyDescent="0.25">
      <c r="A33" s="196"/>
      <c r="B33" s="255"/>
      <c r="C33" s="255"/>
      <c r="D33" s="291"/>
      <c r="E33" s="256"/>
      <c r="F33" s="292"/>
      <c r="G33" s="256"/>
      <c r="H33" s="292"/>
      <c r="I33" s="291"/>
      <c r="J33" s="256"/>
      <c r="K33" s="292"/>
    </row>
    <row r="34" spans="1:11" ht="15" customHeight="1" x14ac:dyDescent="0.25">
      <c r="A34" s="196"/>
      <c r="B34" s="255"/>
      <c r="C34" s="255"/>
      <c r="D34" s="291"/>
      <c r="E34" s="256"/>
      <c r="F34" s="292"/>
      <c r="G34" s="256"/>
      <c r="H34" s="292"/>
      <c r="I34" s="291"/>
      <c r="J34" s="256"/>
      <c r="K34" s="292"/>
    </row>
    <row r="35" spans="1:11" ht="15" customHeight="1" x14ac:dyDescent="0.25">
      <c r="A35" s="196"/>
      <c r="B35" s="255"/>
      <c r="C35" s="255"/>
      <c r="D35" s="291"/>
      <c r="E35" s="256"/>
      <c r="F35" s="292"/>
      <c r="G35" s="256"/>
      <c r="H35" s="292"/>
      <c r="I35" s="291"/>
      <c r="J35" s="256"/>
      <c r="K35" s="292"/>
    </row>
    <row r="36" spans="1:11" ht="15" customHeight="1" x14ac:dyDescent="0.25">
      <c r="A36" s="196"/>
      <c r="B36" s="255"/>
      <c r="C36" s="255"/>
      <c r="D36" s="291"/>
      <c r="E36" s="256"/>
      <c r="F36" s="292"/>
      <c r="G36" s="256"/>
      <c r="H36" s="292"/>
      <c r="I36" s="291"/>
      <c r="J36" s="256"/>
      <c r="K36" s="292"/>
    </row>
    <row r="37" spans="1:11" ht="15" customHeight="1" x14ac:dyDescent="0.25">
      <c r="A37" s="196"/>
      <c r="B37" s="255"/>
      <c r="C37" s="255"/>
      <c r="D37" s="291"/>
      <c r="E37" s="256"/>
      <c r="F37" s="292"/>
      <c r="G37" s="256"/>
      <c r="H37" s="292"/>
      <c r="I37" s="291"/>
      <c r="J37" s="256"/>
      <c r="K37" s="292"/>
    </row>
    <row r="38" spans="1:11" ht="15" customHeight="1" x14ac:dyDescent="0.25">
      <c r="A38" s="196"/>
      <c r="B38" s="255"/>
      <c r="C38" s="255"/>
      <c r="D38" s="291"/>
      <c r="E38" s="256"/>
      <c r="F38" s="292"/>
      <c r="G38" s="256"/>
      <c r="H38" s="292"/>
      <c r="I38" s="291"/>
      <c r="J38" s="256"/>
      <c r="K38" s="292"/>
    </row>
    <row r="39" spans="1:11" ht="15" customHeight="1" x14ac:dyDescent="0.25">
      <c r="A39" s="196"/>
      <c r="B39" s="255"/>
      <c r="C39" s="255"/>
      <c r="D39" s="291"/>
      <c r="E39" s="256"/>
      <c r="F39" s="292"/>
      <c r="G39" s="256"/>
      <c r="H39" s="292"/>
      <c r="I39" s="291"/>
      <c r="J39" s="256"/>
      <c r="K39" s="292"/>
    </row>
    <row r="40" spans="1:11" ht="15" customHeight="1" x14ac:dyDescent="0.25">
      <c r="A40" s="196"/>
      <c r="B40" s="255"/>
      <c r="C40" s="255"/>
      <c r="D40" s="291"/>
      <c r="E40" s="256"/>
      <c r="F40" s="292"/>
      <c r="G40" s="256"/>
      <c r="H40" s="292"/>
      <c r="I40" s="291"/>
      <c r="J40" s="256"/>
      <c r="K40" s="292"/>
    </row>
    <row r="41" spans="1:11" x14ac:dyDescent="0.25">
      <c r="J41" s="116"/>
    </row>
    <row r="42" spans="1:11" x14ac:dyDescent="0.25">
      <c r="J42" s="116"/>
    </row>
    <row r="43" spans="1:11" x14ac:dyDescent="0.25">
      <c r="J43" s="116"/>
    </row>
    <row r="44" spans="1:11" x14ac:dyDescent="0.25">
      <c r="J44" s="116"/>
    </row>
    <row r="45" spans="1:11" x14ac:dyDescent="0.25">
      <c r="J45" s="116"/>
    </row>
    <row r="46" spans="1:11" x14ac:dyDescent="0.25">
      <c r="J46" s="116"/>
    </row>
    <row r="47" spans="1:11" x14ac:dyDescent="0.25">
      <c r="J47" s="116"/>
    </row>
    <row r="48" spans="1:11" x14ac:dyDescent="0.25">
      <c r="J48" s="116"/>
    </row>
    <row r="49" spans="10:10" x14ac:dyDescent="0.25">
      <c r="J49" s="116"/>
    </row>
    <row r="50" spans="10:10" x14ac:dyDescent="0.25">
      <c r="J50" s="116"/>
    </row>
    <row r="51" spans="10:10" x14ac:dyDescent="0.25">
      <c r="J51" s="116"/>
    </row>
    <row r="52" spans="10:10" x14ac:dyDescent="0.25">
      <c r="J52" s="116"/>
    </row>
    <row r="53" spans="10:10" x14ac:dyDescent="0.25">
      <c r="J53" s="116"/>
    </row>
    <row r="54" spans="10:10" x14ac:dyDescent="0.25">
      <c r="J54" s="116"/>
    </row>
    <row r="55" spans="10:10" x14ac:dyDescent="0.25">
      <c r="J55" s="116"/>
    </row>
    <row r="56" spans="10:10" x14ac:dyDescent="0.25">
      <c r="J56" s="116"/>
    </row>
    <row r="57" spans="10:10" x14ac:dyDescent="0.25">
      <c r="J57" s="116"/>
    </row>
    <row r="58" spans="10:10" x14ac:dyDescent="0.25">
      <c r="J58" s="116"/>
    </row>
    <row r="59" spans="10:10" x14ac:dyDescent="0.25">
      <c r="J59" s="116"/>
    </row>
    <row r="60" spans="10:10" x14ac:dyDescent="0.25">
      <c r="J60" s="116"/>
    </row>
    <row r="61" spans="10:10" x14ac:dyDescent="0.25">
      <c r="J61" s="116"/>
    </row>
    <row r="62" spans="10:10" x14ac:dyDescent="0.25">
      <c r="J62" s="116"/>
    </row>
    <row r="63" spans="10:10" x14ac:dyDescent="0.25">
      <c r="J63" s="116"/>
    </row>
    <row r="64" spans="10:10" x14ac:dyDescent="0.25">
      <c r="J64" s="116"/>
    </row>
    <row r="65" spans="5:10" x14ac:dyDescent="0.25">
      <c r="J65" s="116"/>
    </row>
    <row r="66" spans="5:10" x14ac:dyDescent="0.25">
      <c r="J66" s="116"/>
    </row>
    <row r="67" spans="5:10" x14ac:dyDescent="0.25">
      <c r="J67" s="116"/>
    </row>
    <row r="68" spans="5:10" x14ac:dyDescent="0.25">
      <c r="J68" s="116"/>
    </row>
    <row r="69" spans="5:10" x14ac:dyDescent="0.25">
      <c r="J69" s="116"/>
    </row>
    <row r="70" spans="5:10" x14ac:dyDescent="0.25">
      <c r="J70" s="116"/>
    </row>
    <row r="71" spans="5:10" x14ac:dyDescent="0.25">
      <c r="J71" s="116"/>
    </row>
    <row r="72" spans="5:10" x14ac:dyDescent="0.25">
      <c r="J72" s="116"/>
    </row>
    <row r="73" spans="5:10" x14ac:dyDescent="0.25">
      <c r="J73" s="116"/>
    </row>
    <row r="74" spans="5:10" x14ac:dyDescent="0.25">
      <c r="J74" s="116"/>
    </row>
    <row r="75" spans="5:10" x14ac:dyDescent="0.25">
      <c r="J75" s="116"/>
    </row>
    <row r="76" spans="5:10" x14ac:dyDescent="0.25">
      <c r="J76" s="116"/>
    </row>
    <row r="77" spans="5:10" x14ac:dyDescent="0.25">
      <c r="J77" s="116"/>
    </row>
    <row r="78" spans="5:10" x14ac:dyDescent="0.25">
      <c r="E78" s="119"/>
      <c r="J78" s="116"/>
    </row>
    <row r="79" spans="5:10" x14ac:dyDescent="0.25">
      <c r="E79" s="119"/>
      <c r="J79" s="116"/>
    </row>
    <row r="80" spans="5:10" x14ac:dyDescent="0.25">
      <c r="J80" s="116"/>
    </row>
    <row r="87" spans="10:10" x14ac:dyDescent="0.25">
      <c r="J87" s="120"/>
    </row>
  </sheetData>
  <mergeCells count="8">
    <mergeCell ref="B8:C8"/>
    <mergeCell ref="B4:C5"/>
    <mergeCell ref="B2:K2"/>
    <mergeCell ref="F4:F5"/>
    <mergeCell ref="H4:H5"/>
    <mergeCell ref="K4:K5"/>
    <mergeCell ref="B6:C6"/>
    <mergeCell ref="B7:C7"/>
  </mergeCells>
  <phoneticPr fontId="2" type="noConversion"/>
  <printOptions horizontalCentered="1"/>
  <pageMargins left="0.25" right="0.25" top="0.75" bottom="0.75" header="0.3" footer="0.3"/>
  <pageSetup paperSize="9" orientation="portrait" r:id="rId1"/>
  <headerFooter alignWithMargins="0"/>
  <ignoredErrors>
    <ignoredError sqref="H8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V62"/>
  <sheetViews>
    <sheetView showGridLines="0" zoomScale="115" zoomScaleNormal="115" zoomScaleSheetLayoutView="100" workbookViewId="0">
      <pane ySplit="4" topLeftCell="A5" activePane="bottomLeft" state="frozen"/>
      <selection activeCell="P31" sqref="P31"/>
      <selection pane="bottomLeft" activeCell="P31" sqref="P31"/>
    </sheetView>
  </sheetViews>
  <sheetFormatPr defaultColWidth="8" defaultRowHeight="15.6" x14ac:dyDescent="0.25"/>
  <cols>
    <col min="1" max="1" width="2" style="49" customWidth="1"/>
    <col min="2" max="3" width="2.59765625" style="49" customWidth="1"/>
    <col min="4" max="4" width="10.8984375" style="49" customWidth="1"/>
    <col min="5" max="5" width="10.296875" style="49" customWidth="1"/>
    <col min="6" max="6" width="9" style="49" customWidth="1"/>
    <col min="7" max="7" width="8.59765625" style="50" customWidth="1"/>
    <col min="8" max="9" width="10.296875" style="49" customWidth="1"/>
    <col min="10" max="10" width="11.09765625" style="49" customWidth="1"/>
    <col min="11" max="11" width="9.59765625" style="49" customWidth="1"/>
    <col min="12" max="12" width="11.296875" style="49" bestFit="1" customWidth="1"/>
    <col min="13" max="13" width="11.8984375" style="49" customWidth="1"/>
    <col min="14" max="14" width="9.69921875" style="49" customWidth="1"/>
    <col min="15" max="18" width="8" style="49" customWidth="1"/>
    <col min="19" max="16384" width="8" style="49"/>
  </cols>
  <sheetData>
    <row r="1" spans="2:22" s="48" customFormat="1" ht="27.75" customHeight="1" x14ac:dyDescent="0.25">
      <c r="B1" s="410" t="s">
        <v>222</v>
      </c>
      <c r="C1" s="411"/>
      <c r="D1" s="411"/>
      <c r="E1" s="411"/>
      <c r="F1" s="411"/>
      <c r="G1" s="411"/>
      <c r="H1" s="411"/>
      <c r="I1" s="411"/>
      <c r="J1" s="411"/>
      <c r="K1" s="411"/>
      <c r="L1" s="411"/>
    </row>
    <row r="2" spans="2:22" ht="5.25" customHeight="1" x14ac:dyDescent="0.25">
      <c r="F2" s="49" t="s">
        <v>17</v>
      </c>
    </row>
    <row r="3" spans="2:22" s="51" customFormat="1" ht="22.5" customHeight="1" x14ac:dyDescent="0.25">
      <c r="B3" s="412" t="s">
        <v>18</v>
      </c>
      <c r="C3" s="413"/>
      <c r="D3" s="413"/>
      <c r="E3" s="186" t="s">
        <v>223</v>
      </c>
      <c r="F3" s="187"/>
      <c r="G3" s="188"/>
      <c r="H3" s="306" t="s">
        <v>191</v>
      </c>
      <c r="I3" s="307" t="s">
        <v>191</v>
      </c>
      <c r="J3" s="416" t="s">
        <v>224</v>
      </c>
      <c r="K3" s="189"/>
      <c r="L3" s="418" t="s">
        <v>225</v>
      </c>
      <c r="N3" s="109"/>
    </row>
    <row r="4" spans="2:22" s="51" customFormat="1" ht="32.4" x14ac:dyDescent="0.25">
      <c r="B4" s="414"/>
      <c r="C4" s="415"/>
      <c r="D4" s="415"/>
      <c r="E4" s="134">
        <v>1</v>
      </c>
      <c r="F4" s="79" t="s">
        <v>58</v>
      </c>
      <c r="G4" s="80" t="s">
        <v>29</v>
      </c>
      <c r="H4" s="304">
        <f>E4</f>
        <v>1</v>
      </c>
      <c r="I4" s="305">
        <f>IF(E4=1,12,E4-1)</f>
        <v>12</v>
      </c>
      <c r="J4" s="417"/>
      <c r="K4" s="121" t="s">
        <v>30</v>
      </c>
      <c r="L4" s="419"/>
      <c r="N4" s="110"/>
      <c r="R4" s="110"/>
    </row>
    <row r="5" spans="2:22" ht="20.25" customHeight="1" x14ac:dyDescent="0.25">
      <c r="B5" s="422"/>
      <c r="C5" s="422"/>
      <c r="D5" s="55" t="s">
        <v>31</v>
      </c>
      <c r="E5" s="343">
        <v>0</v>
      </c>
      <c r="F5" s="216">
        <f t="shared" ref="F5:F34" si="0">(E5-H5)/H5</f>
        <v>-1</v>
      </c>
      <c r="G5" s="217" t="e">
        <f>(E5-I5)/I5</f>
        <v>#DIV/0!</v>
      </c>
      <c r="H5" s="323">
        <v>21</v>
      </c>
      <c r="I5" s="323">
        <v>0</v>
      </c>
      <c r="J5" s="343">
        <v>0</v>
      </c>
      <c r="K5" s="218">
        <f t="shared" ref="K5:K36" si="1">(J5-L5)/L5</f>
        <v>-1</v>
      </c>
      <c r="L5" s="322">
        <v>21</v>
      </c>
      <c r="M5" s="53"/>
      <c r="N5" s="111"/>
      <c r="R5" s="111"/>
    </row>
    <row r="6" spans="2:22" ht="20.25" customHeight="1" x14ac:dyDescent="0.25">
      <c r="B6" s="422"/>
      <c r="C6" s="422"/>
      <c r="D6" s="55" t="s">
        <v>24</v>
      </c>
      <c r="E6" s="343">
        <v>6100</v>
      </c>
      <c r="F6" s="216">
        <f t="shared" si="0"/>
        <v>0.12194224756299429</v>
      </c>
      <c r="G6" s="217">
        <f t="shared" ref="G6:G34" si="2">(E6-I6)/I6</f>
        <v>-0.25925925925925924</v>
      </c>
      <c r="H6" s="323">
        <v>5437</v>
      </c>
      <c r="I6" s="323">
        <v>8235</v>
      </c>
      <c r="J6" s="343">
        <v>6100</v>
      </c>
      <c r="K6" s="218">
        <f t="shared" si="1"/>
        <v>0.12194224756299429</v>
      </c>
      <c r="L6" s="320">
        <v>5437</v>
      </c>
      <c r="M6" s="53"/>
      <c r="N6" s="111"/>
      <c r="R6" s="111"/>
    </row>
    <row r="7" spans="2:22" ht="20.25" customHeight="1" x14ac:dyDescent="0.25">
      <c r="B7" s="422"/>
      <c r="C7" s="422"/>
      <c r="D7" s="56" t="s">
        <v>25</v>
      </c>
      <c r="E7" s="343">
        <v>2539</v>
      </c>
      <c r="F7" s="216">
        <f t="shared" si="0"/>
        <v>0.24705304518664048</v>
      </c>
      <c r="G7" s="217">
        <f t="shared" si="2"/>
        <v>-0.43777679362267491</v>
      </c>
      <c r="H7" s="323">
        <v>2036</v>
      </c>
      <c r="I7" s="323">
        <v>4516</v>
      </c>
      <c r="J7" s="343">
        <v>2539</v>
      </c>
      <c r="K7" s="218">
        <f t="shared" si="1"/>
        <v>0.24705304518664048</v>
      </c>
      <c r="L7" s="320">
        <v>2036</v>
      </c>
      <c r="M7" s="53"/>
      <c r="N7" s="111"/>
      <c r="R7" s="111"/>
    </row>
    <row r="8" spans="2:22" ht="20.25" customHeight="1" x14ac:dyDescent="0.25">
      <c r="B8" s="422"/>
      <c r="C8" s="422"/>
      <c r="D8" s="55" t="s">
        <v>219</v>
      </c>
      <c r="E8" s="249">
        <v>23</v>
      </c>
      <c r="F8" s="216" t="e">
        <f t="shared" ref="F8" si="3">(E8-H8)/H8</f>
        <v>#DIV/0!</v>
      </c>
      <c r="G8" s="217">
        <f t="shared" ref="G8" si="4">(E8-I8)/I8</f>
        <v>-0.97824030274361395</v>
      </c>
      <c r="H8" s="316">
        <v>0</v>
      </c>
      <c r="I8" s="316">
        <v>1057</v>
      </c>
      <c r="J8" s="249">
        <v>23</v>
      </c>
      <c r="K8" s="218" t="e">
        <f t="shared" ref="K8" si="5">(J8-L8)/L8</f>
        <v>#DIV/0!</v>
      </c>
      <c r="L8" s="219">
        <v>0</v>
      </c>
      <c r="M8" s="53"/>
      <c r="N8" s="111"/>
      <c r="R8" s="111"/>
    </row>
    <row r="9" spans="2:22" ht="20.25" customHeight="1" x14ac:dyDescent="0.25">
      <c r="B9" s="422"/>
      <c r="C9" s="422"/>
      <c r="D9" s="57" t="s">
        <v>27</v>
      </c>
      <c r="E9" s="343">
        <v>9131</v>
      </c>
      <c r="F9" s="216">
        <f t="shared" si="0"/>
        <v>4.0559246954595789</v>
      </c>
      <c r="G9" s="217">
        <f t="shared" si="2"/>
        <v>2.399910283727711E-2</v>
      </c>
      <c r="H9" s="323">
        <v>1806</v>
      </c>
      <c r="I9" s="323">
        <v>8917</v>
      </c>
      <c r="J9" s="343">
        <v>9131</v>
      </c>
      <c r="K9" s="218">
        <f t="shared" si="1"/>
        <v>4.0559246954595789</v>
      </c>
      <c r="L9" s="320">
        <v>1806</v>
      </c>
      <c r="M9" s="53"/>
      <c r="N9" s="111"/>
      <c r="R9" s="111"/>
    </row>
    <row r="10" spans="2:22" ht="20.25" customHeight="1" x14ac:dyDescent="0.25">
      <c r="B10" s="422"/>
      <c r="C10" s="420" t="s">
        <v>126</v>
      </c>
      <c r="D10" s="421"/>
      <c r="E10" s="250">
        <f>SUM(E5:E9)</f>
        <v>17793</v>
      </c>
      <c r="F10" s="220">
        <f t="shared" si="0"/>
        <v>0.91322580645161289</v>
      </c>
      <c r="G10" s="221">
        <f t="shared" si="2"/>
        <v>-0.21702970297029703</v>
      </c>
      <c r="H10" s="288">
        <f>SUM(H5:H9)</f>
        <v>9300</v>
      </c>
      <c r="I10" s="288">
        <f>SUM(I5:I9)</f>
        <v>22725</v>
      </c>
      <c r="J10" s="250">
        <f>SUM(J5:J9)</f>
        <v>17793</v>
      </c>
      <c r="K10" s="222">
        <f t="shared" si="1"/>
        <v>0.91322580645161289</v>
      </c>
      <c r="L10" s="366">
        <f>SUM(L5:L9)</f>
        <v>9300</v>
      </c>
      <c r="M10" s="53"/>
      <c r="N10" s="111"/>
      <c r="R10" s="111"/>
      <c r="V10" s="111"/>
    </row>
    <row r="11" spans="2:22" ht="20.25" customHeight="1" x14ac:dyDescent="0.25">
      <c r="B11" s="422"/>
      <c r="C11" s="422"/>
      <c r="D11" s="55" t="s">
        <v>184</v>
      </c>
      <c r="E11" s="344">
        <v>3070</v>
      </c>
      <c r="F11" s="226">
        <f t="shared" si="0"/>
        <v>-0.22239108409321176</v>
      </c>
      <c r="G11" s="217">
        <f t="shared" si="2"/>
        <v>-0.12510686805357651</v>
      </c>
      <c r="H11" s="324">
        <v>3948</v>
      </c>
      <c r="I11" s="324">
        <v>3509</v>
      </c>
      <c r="J11" s="344">
        <v>3070</v>
      </c>
      <c r="K11" s="218">
        <f t="shared" ref="K11:K16" si="6">(J11-L11)/L11</f>
        <v>-0.22239108409321176</v>
      </c>
      <c r="L11" s="322">
        <v>3948</v>
      </c>
      <c r="M11" s="53"/>
      <c r="N11" s="111"/>
      <c r="R11" s="111"/>
    </row>
    <row r="12" spans="2:22" ht="20.25" customHeight="1" x14ac:dyDescent="0.25">
      <c r="B12" s="422"/>
      <c r="C12" s="422"/>
      <c r="D12" s="55" t="s">
        <v>137</v>
      </c>
      <c r="E12" s="343">
        <v>646</v>
      </c>
      <c r="F12" s="226">
        <f t="shared" si="0"/>
        <v>-0.30162162162162159</v>
      </c>
      <c r="G12" s="226">
        <f t="shared" si="2"/>
        <v>-0.36604514229636897</v>
      </c>
      <c r="H12" s="323">
        <v>925</v>
      </c>
      <c r="I12" s="323">
        <v>1019</v>
      </c>
      <c r="J12" s="343">
        <v>646</v>
      </c>
      <c r="K12" s="218">
        <f t="shared" si="6"/>
        <v>-0.30162162162162159</v>
      </c>
      <c r="L12" s="320">
        <v>925</v>
      </c>
      <c r="M12" s="53"/>
      <c r="N12" s="111"/>
      <c r="R12" s="111"/>
    </row>
    <row r="13" spans="2:22" ht="20.25" customHeight="1" x14ac:dyDescent="0.25">
      <c r="B13" s="422"/>
      <c r="C13" s="422"/>
      <c r="D13" s="55" t="s">
        <v>113</v>
      </c>
      <c r="E13" s="343">
        <v>854</v>
      </c>
      <c r="F13" s="226">
        <f t="shared" si="0"/>
        <v>0.78288100208768263</v>
      </c>
      <c r="G13" s="217">
        <f t="shared" si="2"/>
        <v>0.17307692307692307</v>
      </c>
      <c r="H13" s="323">
        <v>479</v>
      </c>
      <c r="I13" s="323">
        <v>728</v>
      </c>
      <c r="J13" s="343">
        <v>854</v>
      </c>
      <c r="K13" s="218">
        <f t="shared" si="6"/>
        <v>0.78288100208768263</v>
      </c>
      <c r="L13" s="320">
        <v>479</v>
      </c>
      <c r="M13" s="53"/>
      <c r="N13" s="111"/>
      <c r="R13" s="111"/>
    </row>
    <row r="14" spans="2:22" ht="20.25" customHeight="1" x14ac:dyDescent="0.25">
      <c r="B14" s="422"/>
      <c r="C14" s="422"/>
      <c r="D14" s="55" t="s">
        <v>59</v>
      </c>
      <c r="E14" s="343">
        <v>3636</v>
      </c>
      <c r="F14" s="226">
        <f t="shared" si="0"/>
        <v>4.6974302293451226E-3</v>
      </c>
      <c r="G14" s="217">
        <f t="shared" si="2"/>
        <v>0.17937074278300358</v>
      </c>
      <c r="H14" s="323">
        <v>3619</v>
      </c>
      <c r="I14" s="323">
        <v>3083</v>
      </c>
      <c r="J14" s="343">
        <v>3636</v>
      </c>
      <c r="K14" s="218">
        <f t="shared" si="6"/>
        <v>4.6974302293451226E-3</v>
      </c>
      <c r="L14" s="320">
        <v>3619</v>
      </c>
      <c r="M14" s="53"/>
      <c r="N14" s="111"/>
      <c r="R14" s="111"/>
    </row>
    <row r="15" spans="2:22" ht="20.25" customHeight="1" x14ac:dyDescent="0.25">
      <c r="B15" s="422"/>
      <c r="C15" s="422"/>
      <c r="D15" s="55" t="s">
        <v>172</v>
      </c>
      <c r="E15" s="343">
        <v>76</v>
      </c>
      <c r="F15" s="226">
        <f t="shared" si="0"/>
        <v>-0.7978723404255319</v>
      </c>
      <c r="G15" s="217">
        <f t="shared" si="2"/>
        <v>-0.89310829817158932</v>
      </c>
      <c r="H15" s="323">
        <v>376</v>
      </c>
      <c r="I15" s="323">
        <v>711</v>
      </c>
      <c r="J15" s="343">
        <v>76</v>
      </c>
      <c r="K15" s="218">
        <f t="shared" si="6"/>
        <v>-0.7978723404255319</v>
      </c>
      <c r="L15" s="320">
        <v>376</v>
      </c>
      <c r="M15" s="53"/>
      <c r="N15" s="111"/>
      <c r="R15" s="111"/>
    </row>
    <row r="16" spans="2:22" ht="20.25" customHeight="1" x14ac:dyDescent="0.25">
      <c r="B16" s="422"/>
      <c r="C16" s="422"/>
      <c r="D16" s="55" t="s">
        <v>124</v>
      </c>
      <c r="E16" s="343">
        <v>307</v>
      </c>
      <c r="F16" s="226">
        <f t="shared" si="0"/>
        <v>-3.7617554858934171E-2</v>
      </c>
      <c r="G16" s="217">
        <f t="shared" si="2"/>
        <v>-0.31165919282511212</v>
      </c>
      <c r="H16" s="323">
        <v>319</v>
      </c>
      <c r="I16" s="323">
        <v>446</v>
      </c>
      <c r="J16" s="343">
        <v>307</v>
      </c>
      <c r="K16" s="218">
        <f t="shared" si="6"/>
        <v>-3.7617554858934171E-2</v>
      </c>
      <c r="L16" s="320">
        <v>319</v>
      </c>
      <c r="M16" s="53"/>
      <c r="N16" s="111"/>
      <c r="R16" s="111"/>
    </row>
    <row r="17" spans="2:21" ht="20.25" customHeight="1" x14ac:dyDescent="0.25">
      <c r="B17" s="422"/>
      <c r="C17" s="422"/>
      <c r="D17" s="55" t="s">
        <v>8</v>
      </c>
      <c r="E17" s="343">
        <v>2124</v>
      </c>
      <c r="F17" s="216">
        <f t="shared" si="0"/>
        <v>-1.6211208893006021E-2</v>
      </c>
      <c r="G17" s="217">
        <f t="shared" si="2"/>
        <v>-0.44266596693781157</v>
      </c>
      <c r="H17" s="323">
        <v>2159</v>
      </c>
      <c r="I17" s="323">
        <v>3811</v>
      </c>
      <c r="J17" s="343">
        <v>2124</v>
      </c>
      <c r="K17" s="218">
        <f t="shared" si="1"/>
        <v>-1.6211208893006021E-2</v>
      </c>
      <c r="L17" s="320">
        <v>2159</v>
      </c>
      <c r="M17" s="53"/>
      <c r="N17" s="111"/>
      <c r="R17" s="111"/>
    </row>
    <row r="18" spans="2:21" ht="20.25" customHeight="1" x14ac:dyDescent="0.25">
      <c r="B18" s="422"/>
      <c r="C18" s="422"/>
      <c r="D18" s="57" t="s">
        <v>133</v>
      </c>
      <c r="E18" s="345">
        <v>3922</v>
      </c>
      <c r="F18" s="227">
        <f t="shared" si="0"/>
        <v>-8.8331008833100882E-2</v>
      </c>
      <c r="G18" s="228">
        <f t="shared" si="2"/>
        <v>-9.7145488029465932E-2</v>
      </c>
      <c r="H18" s="325">
        <v>4302</v>
      </c>
      <c r="I18" s="325">
        <v>4344</v>
      </c>
      <c r="J18" s="345">
        <v>3922</v>
      </c>
      <c r="K18" s="229">
        <f t="shared" si="1"/>
        <v>-8.8331008833100882E-2</v>
      </c>
      <c r="L18" s="321">
        <v>4302</v>
      </c>
      <c r="M18" s="53"/>
      <c r="N18" s="111"/>
      <c r="O18" s="123"/>
      <c r="R18" s="111"/>
    </row>
    <row r="19" spans="2:21" ht="20.25" customHeight="1" x14ac:dyDescent="0.25">
      <c r="B19" s="422"/>
      <c r="C19" s="420" t="s">
        <v>32</v>
      </c>
      <c r="D19" s="423"/>
      <c r="E19" s="346">
        <f>SUM(E11:E18)</f>
        <v>14635</v>
      </c>
      <c r="F19" s="364">
        <f t="shared" si="0"/>
        <v>-9.2515656972778568E-2</v>
      </c>
      <c r="G19" s="221">
        <f t="shared" si="2"/>
        <v>-0.17086850603365247</v>
      </c>
      <c r="H19" s="326">
        <f>SUM(H11:H18)</f>
        <v>16127</v>
      </c>
      <c r="I19" s="326">
        <f>SUM(I11:I18)</f>
        <v>17651</v>
      </c>
      <c r="J19" s="346">
        <f>SUM(J11:J18)</f>
        <v>14635</v>
      </c>
      <c r="K19" s="218">
        <f t="shared" si="1"/>
        <v>-9.2515656972778568E-2</v>
      </c>
      <c r="L19" s="327">
        <f>SUM(L11:L18)</f>
        <v>16127</v>
      </c>
      <c r="M19" s="53"/>
      <c r="N19" s="111"/>
      <c r="R19" s="111"/>
    </row>
    <row r="20" spans="2:21" ht="20.25" customHeight="1" x14ac:dyDescent="0.25">
      <c r="B20" s="58"/>
      <c r="C20" s="59"/>
      <c r="D20" s="55" t="s">
        <v>173</v>
      </c>
      <c r="E20" s="343">
        <v>2951</v>
      </c>
      <c r="F20" s="226">
        <f t="shared" si="0"/>
        <v>5.0177935943060498E-2</v>
      </c>
      <c r="G20" s="217">
        <f t="shared" si="2"/>
        <v>-7.4631545939165878E-2</v>
      </c>
      <c r="H20" s="323">
        <v>2810</v>
      </c>
      <c r="I20" s="323">
        <v>3189</v>
      </c>
      <c r="J20" s="343">
        <v>2951</v>
      </c>
      <c r="K20" s="225">
        <f t="shared" si="1"/>
        <v>5.0177935943060498E-2</v>
      </c>
      <c r="L20" s="320">
        <v>2810</v>
      </c>
      <c r="M20" s="53"/>
      <c r="N20" s="111"/>
      <c r="R20" s="111"/>
    </row>
    <row r="21" spans="2:21" ht="20.25" customHeight="1" x14ac:dyDescent="0.25">
      <c r="B21" s="58"/>
      <c r="C21" s="54"/>
      <c r="D21" s="57" t="s">
        <v>20</v>
      </c>
      <c r="E21" s="345">
        <v>6591</v>
      </c>
      <c r="F21" s="227">
        <f t="shared" si="0"/>
        <v>0.21091309939371669</v>
      </c>
      <c r="G21" s="228">
        <f t="shared" si="2"/>
        <v>-0.28684267474572606</v>
      </c>
      <c r="H21" s="325">
        <v>5443</v>
      </c>
      <c r="I21" s="325">
        <v>9242</v>
      </c>
      <c r="J21" s="345">
        <v>6591</v>
      </c>
      <c r="K21" s="229">
        <f t="shared" si="1"/>
        <v>0.21091309939371669</v>
      </c>
      <c r="L21" s="321">
        <v>5443</v>
      </c>
      <c r="M21" s="53"/>
      <c r="N21" s="110"/>
      <c r="O21" s="51"/>
      <c r="P21" s="51"/>
      <c r="Q21" s="51"/>
      <c r="R21" s="110"/>
      <c r="S21" s="51"/>
      <c r="T21" s="51"/>
      <c r="U21" s="51"/>
    </row>
    <row r="22" spans="2:21" ht="20.25" customHeight="1" x14ac:dyDescent="0.25">
      <c r="B22" s="58"/>
      <c r="C22" s="420" t="s">
        <v>33</v>
      </c>
      <c r="D22" s="423"/>
      <c r="E22" s="346">
        <f>SUM(E20:E21)</f>
        <v>9542</v>
      </c>
      <c r="F22" s="226">
        <f t="shared" si="0"/>
        <v>0.15618562946807221</v>
      </c>
      <c r="G22" s="217">
        <f t="shared" si="2"/>
        <v>-0.23240286380822139</v>
      </c>
      <c r="H22" s="326">
        <f>SUM(H20:H21)</f>
        <v>8253</v>
      </c>
      <c r="I22" s="326">
        <f>SUM(I20:I21)</f>
        <v>12431</v>
      </c>
      <c r="J22" s="346">
        <f>SUM(J20:J21)</f>
        <v>9542</v>
      </c>
      <c r="K22" s="218">
        <f t="shared" si="1"/>
        <v>0.15618562946807221</v>
      </c>
      <c r="L22" s="327">
        <f>SUM(L20:L21)</f>
        <v>8253</v>
      </c>
      <c r="M22" s="53"/>
      <c r="N22" s="111"/>
      <c r="R22" s="111"/>
    </row>
    <row r="23" spans="2:21" ht="20.25" customHeight="1" x14ac:dyDescent="0.25">
      <c r="B23" s="58"/>
      <c r="C23" s="59"/>
      <c r="D23" s="60" t="s">
        <v>34</v>
      </c>
      <c r="E23" s="344">
        <v>454</v>
      </c>
      <c r="F23" s="223">
        <f t="shared" si="0"/>
        <v>0.17010309278350516</v>
      </c>
      <c r="G23" s="224">
        <f t="shared" si="2"/>
        <v>-0.33431085043988268</v>
      </c>
      <c r="H23" s="324">
        <v>388</v>
      </c>
      <c r="I23" s="324">
        <v>682</v>
      </c>
      <c r="J23" s="344">
        <v>454</v>
      </c>
      <c r="K23" s="225">
        <f t="shared" si="1"/>
        <v>0.17010309278350516</v>
      </c>
      <c r="L23" s="322">
        <v>388</v>
      </c>
      <c r="M23" s="53"/>
      <c r="N23" s="47"/>
    </row>
    <row r="24" spans="2:21" ht="20.25" customHeight="1" x14ac:dyDescent="0.25">
      <c r="B24" s="58"/>
      <c r="C24" s="61"/>
      <c r="D24" s="62" t="s">
        <v>14</v>
      </c>
      <c r="E24" s="345">
        <v>724</v>
      </c>
      <c r="F24" s="227">
        <f t="shared" si="0"/>
        <v>-0.53500321130378936</v>
      </c>
      <c r="G24" s="228">
        <f t="shared" si="2"/>
        <v>-0.57235676314235084</v>
      </c>
      <c r="H24" s="325">
        <v>1557</v>
      </c>
      <c r="I24" s="325">
        <v>1693</v>
      </c>
      <c r="J24" s="345">
        <v>724</v>
      </c>
      <c r="K24" s="229">
        <f>(J24-L24)/L24</f>
        <v>-0.53500321130378936</v>
      </c>
      <c r="L24" s="321">
        <v>1557</v>
      </c>
      <c r="M24" s="53"/>
      <c r="N24" s="47"/>
    </row>
    <row r="25" spans="2:21" ht="20.25" customHeight="1" x14ac:dyDescent="0.25">
      <c r="B25" s="58"/>
      <c r="C25" s="420" t="s">
        <v>35</v>
      </c>
      <c r="D25" s="423"/>
      <c r="E25" s="343">
        <f>SUM(E23:E24)</f>
        <v>1178</v>
      </c>
      <c r="F25" s="226">
        <f t="shared" si="0"/>
        <v>-0.39434447300771208</v>
      </c>
      <c r="G25" s="217">
        <f t="shared" si="2"/>
        <v>-0.504</v>
      </c>
      <c r="H25" s="323">
        <f>SUM(H23:H24)</f>
        <v>1945</v>
      </c>
      <c r="I25" s="323">
        <f>SUM(I23:I24)</f>
        <v>2375</v>
      </c>
      <c r="J25" s="343">
        <f>SUM(J23:J24)</f>
        <v>1178</v>
      </c>
      <c r="K25" s="218">
        <f t="shared" si="1"/>
        <v>-0.39434447300771208</v>
      </c>
      <c r="L25" s="320">
        <f>SUM(L23:L24)</f>
        <v>1945</v>
      </c>
      <c r="M25" s="53"/>
      <c r="N25" s="111"/>
    </row>
    <row r="26" spans="2:21" ht="20.25" customHeight="1" x14ac:dyDescent="0.25">
      <c r="B26" s="129"/>
      <c r="C26" s="130"/>
      <c r="D26" s="52" t="s">
        <v>115</v>
      </c>
      <c r="E26" s="344">
        <v>317</v>
      </c>
      <c r="F26" s="230">
        <f t="shared" si="0"/>
        <v>-0.40525328330206378</v>
      </c>
      <c r="G26" s="224">
        <f t="shared" si="2"/>
        <v>-0.61899038461538458</v>
      </c>
      <c r="H26" s="324">
        <v>533</v>
      </c>
      <c r="I26" s="324">
        <v>832</v>
      </c>
      <c r="J26" s="344">
        <v>317</v>
      </c>
      <c r="K26" s="225">
        <f t="shared" ref="K26:K34" si="7">(J26-L26)/L26</f>
        <v>-0.40525328330206378</v>
      </c>
      <c r="L26" s="322">
        <v>533</v>
      </c>
      <c r="M26" s="53"/>
      <c r="N26" s="111"/>
    </row>
    <row r="27" spans="2:21" ht="20.25" customHeight="1" x14ac:dyDescent="0.25">
      <c r="B27" s="129"/>
      <c r="C27" s="154"/>
      <c r="D27" s="55" t="s">
        <v>117</v>
      </c>
      <c r="E27" s="343">
        <v>4057</v>
      </c>
      <c r="F27" s="216">
        <f t="shared" si="0"/>
        <v>-0.26249772768587532</v>
      </c>
      <c r="G27" s="217">
        <f t="shared" si="2"/>
        <v>-0.16056279743430582</v>
      </c>
      <c r="H27" s="323">
        <v>5501</v>
      </c>
      <c r="I27" s="323">
        <v>4833</v>
      </c>
      <c r="J27" s="343">
        <v>4057</v>
      </c>
      <c r="K27" s="218">
        <f t="shared" si="7"/>
        <v>-0.26249772768587532</v>
      </c>
      <c r="L27" s="320">
        <v>5501</v>
      </c>
      <c r="M27" s="53"/>
      <c r="N27" s="111"/>
    </row>
    <row r="28" spans="2:21" ht="20.25" customHeight="1" x14ac:dyDescent="0.25">
      <c r="B28" s="129"/>
      <c r="C28" s="59"/>
      <c r="D28" s="55" t="s">
        <v>131</v>
      </c>
      <c r="E28" s="343">
        <v>944</v>
      </c>
      <c r="F28" s="226">
        <f t="shared" si="0"/>
        <v>11.102564102564102</v>
      </c>
      <c r="G28" s="217">
        <f t="shared" si="2"/>
        <v>-0.56537753222836096</v>
      </c>
      <c r="H28" s="323">
        <v>78</v>
      </c>
      <c r="I28" s="323">
        <v>2172</v>
      </c>
      <c r="J28" s="343">
        <v>944</v>
      </c>
      <c r="K28" s="218">
        <f t="shared" si="7"/>
        <v>11.102564102564102</v>
      </c>
      <c r="L28" s="320">
        <v>78</v>
      </c>
      <c r="M28" s="53"/>
      <c r="N28" s="111"/>
    </row>
    <row r="29" spans="2:21" ht="20.25" customHeight="1" x14ac:dyDescent="0.25">
      <c r="B29" s="129"/>
      <c r="C29" s="59"/>
      <c r="D29" s="55" t="s">
        <v>187</v>
      </c>
      <c r="E29" s="249">
        <v>7</v>
      </c>
      <c r="F29" s="226">
        <f t="shared" si="0"/>
        <v>-0.96045197740112997</v>
      </c>
      <c r="G29" s="217">
        <f t="shared" si="2"/>
        <v>-0.96698113207547165</v>
      </c>
      <c r="H29" s="316">
        <v>177</v>
      </c>
      <c r="I29" s="316">
        <v>212</v>
      </c>
      <c r="J29" s="249">
        <v>7</v>
      </c>
      <c r="K29" s="218">
        <f t="shared" si="7"/>
        <v>-0.96045197740112997</v>
      </c>
      <c r="L29" s="219">
        <v>177</v>
      </c>
      <c r="M29" s="53"/>
      <c r="N29" s="111"/>
    </row>
    <row r="30" spans="2:21" ht="20.25" customHeight="1" x14ac:dyDescent="0.25">
      <c r="B30" s="129"/>
      <c r="C30" s="59"/>
      <c r="D30" s="55" t="s">
        <v>162</v>
      </c>
      <c r="E30" s="343">
        <v>1149</v>
      </c>
      <c r="F30" s="226">
        <f t="shared" si="0"/>
        <v>-0.52422360248447208</v>
      </c>
      <c r="G30" s="217">
        <f t="shared" si="2"/>
        <v>-0.67878110148168858</v>
      </c>
      <c r="H30" s="323">
        <v>2415</v>
      </c>
      <c r="I30" s="323">
        <v>3577</v>
      </c>
      <c r="J30" s="343">
        <v>1149</v>
      </c>
      <c r="K30" s="218">
        <f t="shared" si="7"/>
        <v>-0.52422360248447208</v>
      </c>
      <c r="L30" s="320">
        <v>2415</v>
      </c>
      <c r="M30" s="53"/>
      <c r="N30" s="111"/>
    </row>
    <row r="31" spans="2:21" ht="20.25" customHeight="1" x14ac:dyDescent="0.25">
      <c r="B31" s="129"/>
      <c r="C31" s="59"/>
      <c r="D31" s="57" t="s">
        <v>149</v>
      </c>
      <c r="E31" s="345">
        <v>1881</v>
      </c>
      <c r="F31" s="254">
        <f t="shared" si="0"/>
        <v>2.6652452025586353E-3</v>
      </c>
      <c r="G31" s="228">
        <f t="shared" si="2"/>
        <v>-0.47443419949706622</v>
      </c>
      <c r="H31" s="325">
        <v>1876</v>
      </c>
      <c r="I31" s="325">
        <v>3579</v>
      </c>
      <c r="J31" s="345">
        <v>1881</v>
      </c>
      <c r="K31" s="229">
        <f t="shared" si="7"/>
        <v>2.6652452025586353E-3</v>
      </c>
      <c r="L31" s="321">
        <v>1876</v>
      </c>
      <c r="M31" s="53"/>
      <c r="N31" s="111"/>
    </row>
    <row r="32" spans="2:21" ht="20.25" customHeight="1" x14ac:dyDescent="0.25">
      <c r="B32" s="129"/>
      <c r="C32" s="420" t="s">
        <v>63</v>
      </c>
      <c r="D32" s="423"/>
      <c r="E32" s="346">
        <f>SUM(E26:E31)</f>
        <v>8355</v>
      </c>
      <c r="F32" s="226">
        <f t="shared" si="0"/>
        <v>-0.21030245746691872</v>
      </c>
      <c r="G32" s="217">
        <f t="shared" si="2"/>
        <v>-0.45050970075633018</v>
      </c>
      <c r="H32" s="326">
        <f>SUM(H26:H31)</f>
        <v>10580</v>
      </c>
      <c r="I32" s="326">
        <f>SUM(I26:I31)</f>
        <v>15205</v>
      </c>
      <c r="J32" s="346">
        <f>SUM(J26:J31)</f>
        <v>8355</v>
      </c>
      <c r="K32" s="218">
        <f t="shared" si="7"/>
        <v>-0.21030245746691872</v>
      </c>
      <c r="L32" s="327">
        <f>SUM(L26:L31)</f>
        <v>10580</v>
      </c>
      <c r="M32" s="53"/>
      <c r="N32" s="111"/>
    </row>
    <row r="33" spans="2:17" ht="20.25" customHeight="1" x14ac:dyDescent="0.25">
      <c r="B33" s="161" t="s">
        <v>36</v>
      </c>
      <c r="C33" s="157"/>
      <c r="D33" s="158"/>
      <c r="E33" s="251">
        <f>SUM(E10,E19,E22,E25,E32)</f>
        <v>51503</v>
      </c>
      <c r="F33" s="159">
        <f t="shared" si="0"/>
        <v>0.11466291526891029</v>
      </c>
      <c r="G33" s="160">
        <f t="shared" si="2"/>
        <v>-0.26828817821472717</v>
      </c>
      <c r="H33" s="328">
        <f>SUM(H10,H19,H22,H25,H32)</f>
        <v>46205</v>
      </c>
      <c r="I33" s="328">
        <f>SUM(I10,I19,I22,I25,I32)</f>
        <v>70387</v>
      </c>
      <c r="J33" s="251">
        <f>SUM(J10,J19,J22,J25,J32)</f>
        <v>51503</v>
      </c>
      <c r="K33" s="160">
        <f t="shared" si="7"/>
        <v>0.11466291526891029</v>
      </c>
      <c r="L33" s="349">
        <f>SUM(L10,L19,L22,L25,L32)</f>
        <v>46205</v>
      </c>
      <c r="M33" s="53"/>
      <c r="N33" s="111"/>
      <c r="O33" s="111"/>
      <c r="P33" s="111"/>
      <c r="Q33" s="111"/>
    </row>
    <row r="34" spans="2:17" ht="20.25" customHeight="1" x14ac:dyDescent="0.25">
      <c r="B34" s="63" t="s">
        <v>37</v>
      </c>
      <c r="C34" s="64"/>
      <c r="D34" s="263"/>
      <c r="E34" s="260">
        <v>254793</v>
      </c>
      <c r="F34" s="261">
        <f t="shared" si="0"/>
        <v>7.7572097390156941E-2</v>
      </c>
      <c r="G34" s="262">
        <f t="shared" si="2"/>
        <v>-7.4479562072961206E-2</v>
      </c>
      <c r="H34" s="347">
        <v>236451</v>
      </c>
      <c r="I34" s="289">
        <v>275297</v>
      </c>
      <c r="J34" s="260">
        <v>254793</v>
      </c>
      <c r="K34" s="262">
        <f t="shared" si="7"/>
        <v>7.7572097390156941E-2</v>
      </c>
      <c r="L34" s="367">
        <v>236451</v>
      </c>
      <c r="M34" s="365"/>
      <c r="N34" s="111"/>
      <c r="O34" s="111"/>
      <c r="P34" s="111"/>
      <c r="Q34" s="111"/>
    </row>
    <row r="35" spans="2:17" s="67" customFormat="1" ht="4.5" customHeight="1" x14ac:dyDescent="0.25">
      <c r="B35" s="185"/>
      <c r="C35" s="65"/>
      <c r="D35" s="65"/>
      <c r="E35" s="252"/>
      <c r="F35" s="308"/>
      <c r="G35" s="308"/>
      <c r="H35" s="47"/>
      <c r="I35" s="290"/>
      <c r="J35" s="318"/>
      <c r="K35" s="319"/>
      <c r="L35" s="47"/>
      <c r="M35" s="66"/>
      <c r="N35" s="47"/>
    </row>
    <row r="36" spans="2:17" ht="30" customHeight="1" thickBot="1" x14ac:dyDescent="0.3">
      <c r="B36" s="63" t="s">
        <v>38</v>
      </c>
      <c r="C36" s="68"/>
      <c r="D36" s="64"/>
      <c r="E36" s="309">
        <f>SUM(E33:E34)</f>
        <v>306296</v>
      </c>
      <c r="F36" s="310">
        <f>(E36-H36)/H36</f>
        <v>8.3635231518170497E-2</v>
      </c>
      <c r="G36" s="311">
        <f>(E36-I36)/I36</f>
        <v>-0.11394221311949641</v>
      </c>
      <c r="H36" s="361">
        <f>SUM(H33:H34)</f>
        <v>282656</v>
      </c>
      <c r="I36" s="333">
        <f>SUM(I33:I34)</f>
        <v>345684</v>
      </c>
      <c r="J36" s="309">
        <f>SUM(J33:J34)</f>
        <v>306296</v>
      </c>
      <c r="K36" s="311">
        <f t="shared" si="1"/>
        <v>8.3635231518170497E-2</v>
      </c>
      <c r="L36" s="349">
        <f>SUM(L33:L34)</f>
        <v>282656</v>
      </c>
      <c r="M36" s="348"/>
      <c r="N36" s="111"/>
    </row>
    <row r="37" spans="2:17" ht="11.25" customHeight="1" x14ac:dyDescent="0.25">
      <c r="B37" s="69"/>
      <c r="C37" s="69"/>
      <c r="D37" s="69"/>
      <c r="H37" s="362"/>
      <c r="I37" s="363"/>
      <c r="L37" s="53"/>
    </row>
    <row r="38" spans="2:17" s="102" customFormat="1" ht="18.75" customHeight="1" thickBot="1" x14ac:dyDescent="0.3">
      <c r="B38" s="231" t="s">
        <v>160</v>
      </c>
      <c r="D38" s="232"/>
      <c r="F38" s="233"/>
      <c r="G38" s="234"/>
      <c r="K38" s="234"/>
    </row>
    <row r="39" spans="2:17" s="108" customFormat="1" ht="21" customHeight="1" x14ac:dyDescent="0.25">
      <c r="B39" s="397" t="s">
        <v>39</v>
      </c>
      <c r="C39" s="398"/>
      <c r="D39" s="398"/>
      <c r="E39" s="235" t="s">
        <v>223</v>
      </c>
      <c r="F39" s="401"/>
      <c r="G39" s="402"/>
      <c r="H39" s="300" t="s">
        <v>191</v>
      </c>
      <c r="I39" s="302" t="s">
        <v>192</v>
      </c>
      <c r="J39" s="403" t="s">
        <v>224</v>
      </c>
      <c r="K39" s="236"/>
      <c r="L39" s="395" t="s">
        <v>225</v>
      </c>
    </row>
    <row r="40" spans="2:17" s="108" customFormat="1" ht="21" customHeight="1" x14ac:dyDescent="0.25">
      <c r="B40" s="399"/>
      <c r="C40" s="400"/>
      <c r="D40" s="400"/>
      <c r="E40" s="237" t="s">
        <v>226</v>
      </c>
      <c r="F40" s="238" t="s">
        <v>40</v>
      </c>
      <c r="G40" s="239" t="s">
        <v>41</v>
      </c>
      <c r="H40" s="301" t="str">
        <f>E40</f>
        <v>1월</v>
      </c>
      <c r="I40" s="303" t="s">
        <v>81</v>
      </c>
      <c r="J40" s="404"/>
      <c r="K40" s="239" t="s">
        <v>42</v>
      </c>
      <c r="L40" s="396"/>
      <c r="M40" s="356"/>
    </row>
    <row r="41" spans="2:17" s="105" customFormat="1" ht="21" customHeight="1" x14ac:dyDescent="0.25">
      <c r="B41" s="392" t="s">
        <v>23</v>
      </c>
      <c r="C41" s="393"/>
      <c r="D41" s="393"/>
      <c r="E41" s="329">
        <f>SUM(E42:E47)</f>
        <v>7683</v>
      </c>
      <c r="F41" s="240">
        <f t="shared" ref="F41:F47" si="8">(E41-H41)/H41</f>
        <v>1.3801115241635689</v>
      </c>
      <c r="G41" s="241">
        <f t="shared" ref="G41:G47" si="9">(E41-I41)/I41</f>
        <v>0.28114057028514255</v>
      </c>
      <c r="H41" s="329">
        <f>SUM(H42:H47)</f>
        <v>3228</v>
      </c>
      <c r="I41" s="329">
        <f>SUM(I42:I47)</f>
        <v>5997</v>
      </c>
      <c r="J41" s="329">
        <f>SUM(J42:J47)</f>
        <v>7683</v>
      </c>
      <c r="K41" s="242">
        <f t="shared" ref="K41:K46" si="10">(J41-L41)/L41</f>
        <v>1.3801115241635689</v>
      </c>
      <c r="L41" s="329">
        <f>SUM(L42:L47)</f>
        <v>3228</v>
      </c>
      <c r="M41" s="357"/>
    </row>
    <row r="42" spans="2:17" s="105" customFormat="1" ht="18" customHeight="1" x14ac:dyDescent="0.25">
      <c r="B42" s="243"/>
      <c r="C42" s="394" t="s">
        <v>24</v>
      </c>
      <c r="D42" s="385"/>
      <c r="E42" s="330">
        <v>777</v>
      </c>
      <c r="F42" s="244">
        <f t="shared" si="8"/>
        <v>6.0027285129604369E-2</v>
      </c>
      <c r="G42" s="245">
        <f t="shared" si="9"/>
        <v>-0.19062499999999999</v>
      </c>
      <c r="H42" s="330">
        <v>733</v>
      </c>
      <c r="I42" s="330">
        <v>960</v>
      </c>
      <c r="J42" s="330">
        <v>777</v>
      </c>
      <c r="K42" s="246">
        <f t="shared" si="10"/>
        <v>6.0027285129604369E-2</v>
      </c>
      <c r="L42" s="330">
        <v>733</v>
      </c>
      <c r="M42" s="357"/>
    </row>
    <row r="43" spans="2:17" s="105" customFormat="1" ht="18" customHeight="1" x14ac:dyDescent="0.25">
      <c r="B43" s="243"/>
      <c r="C43" s="394" t="s">
        <v>25</v>
      </c>
      <c r="D43" s="385"/>
      <c r="E43" s="330">
        <v>354</v>
      </c>
      <c r="F43" s="244">
        <f t="shared" si="8"/>
        <v>1.4081632653061225</v>
      </c>
      <c r="G43" s="245">
        <f t="shared" si="9"/>
        <v>-0.35753176043557167</v>
      </c>
      <c r="H43" s="330">
        <v>147</v>
      </c>
      <c r="I43" s="330">
        <v>551</v>
      </c>
      <c r="J43" s="330">
        <v>354</v>
      </c>
      <c r="K43" s="246">
        <f t="shared" si="10"/>
        <v>1.4081632653061225</v>
      </c>
      <c r="L43" s="330">
        <v>147</v>
      </c>
      <c r="M43" s="357"/>
    </row>
    <row r="44" spans="2:17" s="105" customFormat="1" ht="18" customHeight="1" x14ac:dyDescent="0.25">
      <c r="B44" s="243"/>
      <c r="C44" s="394" t="s">
        <v>27</v>
      </c>
      <c r="D44" s="385"/>
      <c r="E44" s="330">
        <v>3713</v>
      </c>
      <c r="F44" s="244">
        <f t="shared" si="8"/>
        <v>24.965034965034967</v>
      </c>
      <c r="G44" s="245">
        <f t="shared" si="9"/>
        <v>2.1981050818260122</v>
      </c>
      <c r="H44" s="330">
        <v>143</v>
      </c>
      <c r="I44" s="330">
        <v>1161</v>
      </c>
      <c r="J44" s="330">
        <v>3713</v>
      </c>
      <c r="K44" s="246">
        <f t="shared" si="10"/>
        <v>24.965034965034967</v>
      </c>
      <c r="L44" s="330">
        <v>143</v>
      </c>
      <c r="M44" s="357"/>
    </row>
    <row r="45" spans="2:17" s="105" customFormat="1" ht="18" customHeight="1" x14ac:dyDescent="0.25">
      <c r="B45" s="243"/>
      <c r="C45" s="394" t="s">
        <v>113</v>
      </c>
      <c r="D45" s="385"/>
      <c r="E45" s="330">
        <v>186</v>
      </c>
      <c r="F45" s="244">
        <f t="shared" si="8"/>
        <v>-4.1237113402061855E-2</v>
      </c>
      <c r="G45" s="245">
        <f t="shared" si="9"/>
        <v>-0.21518987341772153</v>
      </c>
      <c r="H45" s="330">
        <v>194</v>
      </c>
      <c r="I45" s="330">
        <v>237</v>
      </c>
      <c r="J45" s="330">
        <v>186</v>
      </c>
      <c r="K45" s="246">
        <f t="shared" si="10"/>
        <v>-4.1237113402061855E-2</v>
      </c>
      <c r="L45" s="330">
        <v>194</v>
      </c>
      <c r="M45" s="357"/>
    </row>
    <row r="46" spans="2:17" s="105" customFormat="1" ht="18" customHeight="1" x14ac:dyDescent="0.25">
      <c r="B46" s="243"/>
      <c r="C46" s="390" t="s">
        <v>59</v>
      </c>
      <c r="D46" s="391"/>
      <c r="E46" s="331">
        <v>1592</v>
      </c>
      <c r="F46" s="276">
        <f t="shared" si="8"/>
        <v>0.78675645342312006</v>
      </c>
      <c r="G46" s="266">
        <f t="shared" si="9"/>
        <v>0.33445096395641238</v>
      </c>
      <c r="H46" s="331">
        <v>891</v>
      </c>
      <c r="I46" s="331">
        <v>1193</v>
      </c>
      <c r="J46" s="331">
        <v>1592</v>
      </c>
      <c r="K46" s="277">
        <f t="shared" si="10"/>
        <v>0.78675645342312006</v>
      </c>
      <c r="L46" s="331">
        <v>891</v>
      </c>
      <c r="M46" s="357"/>
    </row>
    <row r="47" spans="2:17" s="105" customFormat="1" ht="18" customHeight="1" x14ac:dyDescent="0.25">
      <c r="B47" s="247"/>
      <c r="C47" s="387" t="s">
        <v>8</v>
      </c>
      <c r="D47" s="388"/>
      <c r="E47" s="332">
        <v>1061</v>
      </c>
      <c r="F47" s="295">
        <f t="shared" si="8"/>
        <v>-5.2678571428571429E-2</v>
      </c>
      <c r="G47" s="222">
        <f t="shared" si="9"/>
        <v>-0.44010554089709764</v>
      </c>
      <c r="H47" s="332">
        <v>1120</v>
      </c>
      <c r="I47" s="332">
        <v>1895</v>
      </c>
      <c r="J47" s="332">
        <v>1061</v>
      </c>
      <c r="K47" s="298">
        <f>(J47-L47)/L47</f>
        <v>-5.2678571428571429E-2</v>
      </c>
      <c r="L47" s="332">
        <v>1120</v>
      </c>
      <c r="M47" s="357"/>
    </row>
    <row r="48" spans="2:17" s="105" customFormat="1" ht="4.5" customHeight="1" x14ac:dyDescent="0.25">
      <c r="B48" s="103"/>
      <c r="C48" s="106"/>
      <c r="D48" s="107"/>
      <c r="E48" s="274"/>
      <c r="F48" s="296"/>
      <c r="G48" s="296"/>
      <c r="H48" s="274"/>
      <c r="I48" s="274"/>
      <c r="J48" s="274"/>
      <c r="K48" s="355"/>
      <c r="L48" s="274"/>
      <c r="M48" s="104"/>
    </row>
    <row r="49" spans="2:13" s="105" customFormat="1" ht="21" customHeight="1" x14ac:dyDescent="0.25">
      <c r="B49" s="392" t="s">
        <v>74</v>
      </c>
      <c r="C49" s="393"/>
      <c r="D49" s="393"/>
      <c r="E49" s="275">
        <f>SUM(E50:E56)</f>
        <v>127</v>
      </c>
      <c r="F49" s="297">
        <f t="shared" ref="F49:F56" si="11">(E49-H49)/H49</f>
        <v>-0.83549222797927458</v>
      </c>
      <c r="G49" s="242">
        <f t="shared" ref="G49:G56" si="12">(E49-I49)/I49</f>
        <v>-0.94468641114982577</v>
      </c>
      <c r="H49" s="275">
        <f>SUM(H50:H56)</f>
        <v>772</v>
      </c>
      <c r="I49" s="275">
        <f>SUM(I50:I56)</f>
        <v>2296</v>
      </c>
      <c r="J49" s="275">
        <f>SUM(J50:J56)</f>
        <v>127</v>
      </c>
      <c r="K49" s="242">
        <f t="shared" ref="K49:K56" si="13">(J49-L49)/L49</f>
        <v>-0.83549222797927458</v>
      </c>
      <c r="L49" s="275">
        <f>SUM(L50:L56)</f>
        <v>772</v>
      </c>
      <c r="M49" s="104"/>
    </row>
    <row r="50" spans="2:13" s="105" customFormat="1" ht="18" customHeight="1" x14ac:dyDescent="0.25">
      <c r="B50" s="243"/>
      <c r="C50" s="385" t="s">
        <v>219</v>
      </c>
      <c r="D50" s="389"/>
      <c r="E50" s="314">
        <v>23</v>
      </c>
      <c r="F50" s="244" t="e">
        <f t="shared" si="11"/>
        <v>#DIV/0!</v>
      </c>
      <c r="G50" s="369">
        <f t="shared" si="12"/>
        <v>-0.97824030274361395</v>
      </c>
      <c r="H50" s="330">
        <v>0</v>
      </c>
      <c r="I50" s="314">
        <v>1057</v>
      </c>
      <c r="J50" s="314">
        <v>23</v>
      </c>
      <c r="K50" s="246" t="e">
        <f t="shared" si="13"/>
        <v>#DIV/0!</v>
      </c>
      <c r="L50" s="330">
        <v>0</v>
      </c>
      <c r="M50" s="104"/>
    </row>
    <row r="51" spans="2:13" s="105" customFormat="1" ht="18" customHeight="1" x14ac:dyDescent="0.25">
      <c r="B51" s="243"/>
      <c r="C51" s="385" t="s">
        <v>172</v>
      </c>
      <c r="D51" s="389"/>
      <c r="E51" s="314">
        <v>76</v>
      </c>
      <c r="F51" s="244">
        <f t="shared" si="11"/>
        <v>-0.7978723404255319</v>
      </c>
      <c r="G51" s="245">
        <f t="shared" si="12"/>
        <v>-0.89310829817158932</v>
      </c>
      <c r="H51" s="330">
        <v>376</v>
      </c>
      <c r="I51" s="314">
        <v>711</v>
      </c>
      <c r="J51" s="314">
        <v>76</v>
      </c>
      <c r="K51" s="246">
        <f t="shared" si="13"/>
        <v>-0.7978723404255319</v>
      </c>
      <c r="L51" s="330">
        <v>376</v>
      </c>
      <c r="M51" s="104"/>
    </row>
    <row r="52" spans="2:13" s="105" customFormat="1" ht="18" customHeight="1" x14ac:dyDescent="0.25">
      <c r="B52" s="243"/>
      <c r="C52" s="385" t="s">
        <v>178</v>
      </c>
      <c r="D52" s="386"/>
      <c r="E52" s="314">
        <v>5</v>
      </c>
      <c r="F52" s="244">
        <f t="shared" si="11"/>
        <v>-0.9719101123595506</v>
      </c>
      <c r="G52" s="245">
        <f t="shared" si="12"/>
        <v>-0.9285714285714286</v>
      </c>
      <c r="H52" s="330">
        <v>178</v>
      </c>
      <c r="I52" s="314">
        <v>70</v>
      </c>
      <c r="J52" s="314">
        <v>5</v>
      </c>
      <c r="K52" s="246">
        <f t="shared" si="13"/>
        <v>-0.9719101123595506</v>
      </c>
      <c r="L52" s="330">
        <v>178</v>
      </c>
      <c r="M52" s="104"/>
    </row>
    <row r="53" spans="2:13" s="105" customFormat="1" ht="18" customHeight="1" x14ac:dyDescent="0.25">
      <c r="B53" s="243"/>
      <c r="C53" s="385" t="s">
        <v>187</v>
      </c>
      <c r="D53" s="386"/>
      <c r="E53" s="314">
        <v>7</v>
      </c>
      <c r="F53" s="244">
        <f t="shared" si="11"/>
        <v>-0.96045197740112997</v>
      </c>
      <c r="G53" s="245">
        <f t="shared" si="12"/>
        <v>-0.96698113207547165</v>
      </c>
      <c r="H53" s="330">
        <v>177</v>
      </c>
      <c r="I53" s="314">
        <v>212</v>
      </c>
      <c r="J53" s="314">
        <v>7</v>
      </c>
      <c r="K53" s="246">
        <f t="shared" si="13"/>
        <v>-0.96045197740112997</v>
      </c>
      <c r="L53" s="330">
        <v>177</v>
      </c>
      <c r="M53" s="104"/>
    </row>
    <row r="54" spans="2:13" s="105" customFormat="1" ht="18" customHeight="1" x14ac:dyDescent="0.25">
      <c r="B54" s="243"/>
      <c r="C54" s="385" t="s">
        <v>162</v>
      </c>
      <c r="D54" s="386"/>
      <c r="E54" s="314">
        <v>3</v>
      </c>
      <c r="F54" s="244" t="e">
        <f t="shared" si="11"/>
        <v>#DIV/0!</v>
      </c>
      <c r="G54" s="245">
        <f t="shared" si="12"/>
        <v>-0.97</v>
      </c>
      <c r="H54" s="314">
        <v>0</v>
      </c>
      <c r="I54" s="314">
        <v>100</v>
      </c>
      <c r="J54" s="314">
        <v>3</v>
      </c>
      <c r="K54" s="246" t="e">
        <f t="shared" si="13"/>
        <v>#DIV/0!</v>
      </c>
      <c r="L54" s="330">
        <v>0</v>
      </c>
      <c r="M54" s="104"/>
    </row>
    <row r="55" spans="2:13" s="105" customFormat="1" ht="18" customHeight="1" x14ac:dyDescent="0.25">
      <c r="B55" s="243"/>
      <c r="C55" s="394" t="s">
        <v>113</v>
      </c>
      <c r="D55" s="385"/>
      <c r="E55" s="314">
        <v>0</v>
      </c>
      <c r="F55" s="244" t="e">
        <f t="shared" si="11"/>
        <v>#DIV/0!</v>
      </c>
      <c r="G55" s="245" t="e">
        <f t="shared" si="12"/>
        <v>#DIV/0!</v>
      </c>
      <c r="H55" s="330">
        <v>0</v>
      </c>
      <c r="I55" s="314">
        <v>0</v>
      </c>
      <c r="J55" s="314">
        <v>0</v>
      </c>
      <c r="K55" s="246" t="e">
        <f t="shared" si="13"/>
        <v>#DIV/0!</v>
      </c>
      <c r="L55" s="330">
        <v>0</v>
      </c>
      <c r="M55" s="104"/>
    </row>
    <row r="56" spans="2:13" s="105" customFormat="1" ht="18" customHeight="1" x14ac:dyDescent="0.25">
      <c r="B56" s="247"/>
      <c r="C56" s="387" t="s">
        <v>12</v>
      </c>
      <c r="D56" s="388"/>
      <c r="E56" s="315">
        <v>13</v>
      </c>
      <c r="F56" s="295">
        <f t="shared" si="11"/>
        <v>-0.68292682926829273</v>
      </c>
      <c r="G56" s="222">
        <f t="shared" si="12"/>
        <v>-0.91095890410958902</v>
      </c>
      <c r="H56" s="332">
        <v>41</v>
      </c>
      <c r="I56" s="315">
        <v>146</v>
      </c>
      <c r="J56" s="315">
        <v>13</v>
      </c>
      <c r="K56" s="298">
        <f t="shared" si="13"/>
        <v>-0.68292682926829273</v>
      </c>
      <c r="L56" s="332">
        <v>41</v>
      </c>
      <c r="M56" s="104"/>
    </row>
    <row r="57" spans="2:13" s="105" customFormat="1" ht="4.5" customHeight="1" x14ac:dyDescent="0.25">
      <c r="B57" s="103"/>
      <c r="C57" s="106"/>
      <c r="D57" s="107"/>
      <c r="E57" s="274"/>
      <c r="F57" s="296"/>
      <c r="G57" s="296"/>
      <c r="H57" s="274"/>
      <c r="I57" s="274"/>
      <c r="J57" s="274"/>
      <c r="K57" s="296"/>
      <c r="L57" s="274"/>
      <c r="M57" s="104"/>
    </row>
    <row r="58" spans="2:13" s="105" customFormat="1" ht="21" customHeight="1" x14ac:dyDescent="0.25">
      <c r="B58" s="392" t="s">
        <v>158</v>
      </c>
      <c r="C58" s="393"/>
      <c r="D58" s="408"/>
      <c r="E58" s="312">
        <f>E59</f>
        <v>307</v>
      </c>
      <c r="F58" s="297">
        <f>(E58-H58)/H58</f>
        <v>-3.7617554858934171E-2</v>
      </c>
      <c r="G58" s="242">
        <f>(E58-I58)/I58</f>
        <v>-0.31165919282511212</v>
      </c>
      <c r="H58" s="351">
        <f>H59</f>
        <v>319</v>
      </c>
      <c r="I58" s="352">
        <f>I59</f>
        <v>446</v>
      </c>
      <c r="J58" s="312">
        <f>J59</f>
        <v>307</v>
      </c>
      <c r="K58" s="359">
        <f>(J58-L58)/L58</f>
        <v>-3.7617554858934171E-2</v>
      </c>
      <c r="L58" s="329">
        <f>L59</f>
        <v>319</v>
      </c>
      <c r="M58" s="104"/>
    </row>
    <row r="59" spans="2:13" s="105" customFormat="1" ht="18" customHeight="1" x14ac:dyDescent="0.25">
      <c r="B59" s="248"/>
      <c r="C59" s="388" t="s">
        <v>124</v>
      </c>
      <c r="D59" s="409"/>
      <c r="E59" s="313">
        <v>307</v>
      </c>
      <c r="F59" s="299">
        <f>(E59-H59)/H59</f>
        <v>-3.7617554858934171E-2</v>
      </c>
      <c r="G59" s="222">
        <f>(E59-I59)/I59</f>
        <v>-0.31165919282511212</v>
      </c>
      <c r="H59" s="354">
        <v>319</v>
      </c>
      <c r="I59" s="353">
        <v>446</v>
      </c>
      <c r="J59" s="313">
        <v>307</v>
      </c>
      <c r="K59" s="298">
        <f>(J59-L59)/L59</f>
        <v>-3.7617554858934171E-2</v>
      </c>
      <c r="L59" s="354">
        <v>319</v>
      </c>
      <c r="M59" s="357"/>
    </row>
    <row r="60" spans="2:13" s="105" customFormat="1" ht="4.5" customHeight="1" x14ac:dyDescent="0.25">
      <c r="B60" s="103"/>
      <c r="C60" s="106"/>
      <c r="D60" s="107"/>
      <c r="E60" s="274"/>
      <c r="F60" s="296"/>
      <c r="G60" s="296"/>
      <c r="H60" s="274"/>
      <c r="I60" s="274"/>
      <c r="J60" s="274"/>
      <c r="K60" s="296"/>
      <c r="L60" s="274"/>
      <c r="M60" s="104"/>
    </row>
    <row r="61" spans="2:13" s="69" customFormat="1" ht="26.25" customHeight="1" thickBot="1" x14ac:dyDescent="0.3">
      <c r="B61" s="405" t="s">
        <v>159</v>
      </c>
      <c r="C61" s="406"/>
      <c r="D61" s="407"/>
      <c r="E61" s="334">
        <f>SUM(E41,E49,E58)</f>
        <v>8117</v>
      </c>
      <c r="F61" s="335">
        <f>(E61-H61)/H61</f>
        <v>0.87937022458902525</v>
      </c>
      <c r="G61" s="225">
        <f>(E61-I61)/I61</f>
        <v>-7.1175191669527405E-2</v>
      </c>
      <c r="H61" s="350">
        <f>SUM(H41,H49,H58)</f>
        <v>4319</v>
      </c>
      <c r="I61" s="368">
        <f>SUM(I41,I49,I58)</f>
        <v>8739</v>
      </c>
      <c r="J61" s="334">
        <f>SUM(J41,J49,J58)</f>
        <v>8117</v>
      </c>
      <c r="K61" s="360">
        <f>(J61-L61)/L61</f>
        <v>0.87937022458902525</v>
      </c>
      <c r="L61" s="350">
        <f>SUM(L41,L49,L58)</f>
        <v>4319</v>
      </c>
      <c r="M61" s="358"/>
    </row>
    <row r="62" spans="2:13" s="105" customFormat="1" ht="10.8" customHeight="1" x14ac:dyDescent="0.25">
      <c r="B62" s="103"/>
      <c r="C62" s="106"/>
      <c r="D62" s="107"/>
      <c r="E62" s="214"/>
      <c r="F62" s="215"/>
      <c r="G62" s="336"/>
      <c r="H62" s="317"/>
      <c r="I62" s="317"/>
      <c r="J62" s="214"/>
      <c r="K62" s="215"/>
      <c r="L62" s="214"/>
      <c r="M62" s="104"/>
    </row>
  </sheetData>
  <mergeCells count="34">
    <mergeCell ref="C54:D54"/>
    <mergeCell ref="C45:D45"/>
    <mergeCell ref="C44:D44"/>
    <mergeCell ref="B1:L1"/>
    <mergeCell ref="B3:D4"/>
    <mergeCell ref="J3:J4"/>
    <mergeCell ref="L3:L4"/>
    <mergeCell ref="C10:D10"/>
    <mergeCell ref="B5:B19"/>
    <mergeCell ref="C5:C9"/>
    <mergeCell ref="C25:D25"/>
    <mergeCell ref="C11:C18"/>
    <mergeCell ref="C22:D22"/>
    <mergeCell ref="C19:D19"/>
    <mergeCell ref="B41:D41"/>
    <mergeCell ref="C32:D32"/>
    <mergeCell ref="B61:D61"/>
    <mergeCell ref="B58:D58"/>
    <mergeCell ref="C59:D59"/>
    <mergeCell ref="C56:D56"/>
    <mergeCell ref="C55:D55"/>
    <mergeCell ref="C43:D43"/>
    <mergeCell ref="L39:L40"/>
    <mergeCell ref="B39:D40"/>
    <mergeCell ref="F39:G39"/>
    <mergeCell ref="J39:J40"/>
    <mergeCell ref="C42:D42"/>
    <mergeCell ref="C53:D53"/>
    <mergeCell ref="C52:D52"/>
    <mergeCell ref="C47:D47"/>
    <mergeCell ref="C51:D51"/>
    <mergeCell ref="C46:D46"/>
    <mergeCell ref="B49:D49"/>
    <mergeCell ref="C50:D50"/>
  </mergeCells>
  <phoneticPr fontId="2" type="noConversion"/>
  <printOptions horizontalCentered="1"/>
  <pageMargins left="0.62992125984251968" right="0.62992125984251968" top="0.62992125984251968" bottom="0.62992125984251968" header="0.39370078740157483" footer="0.39370078740157483"/>
  <pageSetup paperSize="9" scale="68" orientation="portrait" r:id="rId1"/>
  <headerFooter alignWithMargins="0"/>
  <ignoredErrors>
    <ignoredError sqref="K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7"/>
    <pageSetUpPr fitToPage="1"/>
  </sheetPr>
  <dimension ref="A1:R801"/>
  <sheetViews>
    <sheetView showGridLines="0" tabSelected="1" zoomScale="110" zoomScaleNormal="110" zoomScaleSheetLayoutView="115" workbookViewId="0">
      <selection activeCell="A836" sqref="A836"/>
    </sheetView>
  </sheetViews>
  <sheetFormatPr defaultRowHeight="14.4" x14ac:dyDescent="0.25"/>
  <cols>
    <col min="1" max="1" width="0.59765625" style="20" customWidth="1"/>
    <col min="2" max="2" width="2.3984375" style="20" customWidth="1"/>
    <col min="3" max="3" width="7.796875" style="20" customWidth="1"/>
    <col min="4" max="15" width="6.59765625" style="19" customWidth="1"/>
    <col min="16" max="16" width="7.796875" style="20" customWidth="1"/>
    <col min="17" max="17" width="7.8984375" style="113" customWidth="1"/>
    <col min="18" max="18" width="9.09765625" customWidth="1"/>
  </cols>
  <sheetData>
    <row r="1" spans="1:17" s="16" customFormat="1" ht="13.2" x14ac:dyDescent="0.25">
      <c r="B1" s="16" t="s">
        <v>227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Q1" s="112"/>
    </row>
    <row r="2" spans="1:17" s="16" customFormat="1" ht="6" customHeight="1" x14ac:dyDescent="0.25"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Q2" s="112"/>
    </row>
    <row r="3" spans="1:17" ht="15" thickBot="1" x14ac:dyDescent="0.3">
      <c r="B3" s="18" t="s">
        <v>228</v>
      </c>
      <c r="C3" s="18"/>
    </row>
    <row r="4" spans="1:17" ht="12.75" customHeight="1" thickBot="1" x14ac:dyDescent="0.3">
      <c r="B4" s="427" t="s">
        <v>1</v>
      </c>
      <c r="C4" s="428"/>
      <c r="D4" s="21">
        <v>1</v>
      </c>
      <c r="E4" s="22">
        <v>2</v>
      </c>
      <c r="F4" s="22">
        <v>3</v>
      </c>
      <c r="G4" s="22">
        <v>4</v>
      </c>
      <c r="H4" s="22">
        <v>5</v>
      </c>
      <c r="I4" s="22">
        <v>6</v>
      </c>
      <c r="J4" s="22">
        <v>7</v>
      </c>
      <c r="K4" s="22">
        <v>8</v>
      </c>
      <c r="L4" s="22" t="s">
        <v>77</v>
      </c>
      <c r="M4" s="22">
        <v>10</v>
      </c>
      <c r="N4" s="22">
        <v>11</v>
      </c>
      <c r="O4" s="22">
        <v>12</v>
      </c>
      <c r="P4" s="23" t="s">
        <v>0</v>
      </c>
    </row>
    <row r="5" spans="1:17" ht="12.75" customHeight="1" x14ac:dyDescent="0.25">
      <c r="B5" s="429" t="s">
        <v>45</v>
      </c>
      <c r="C5" s="175" t="s">
        <v>22</v>
      </c>
      <c r="D5" s="75">
        <v>0</v>
      </c>
      <c r="E5" s="76"/>
      <c r="F5" s="75"/>
      <c r="G5" s="76"/>
      <c r="H5" s="76"/>
      <c r="I5" s="76"/>
      <c r="J5" s="76"/>
      <c r="K5" s="76"/>
      <c r="L5" s="78"/>
      <c r="M5" s="76"/>
      <c r="N5" s="76"/>
      <c r="O5" s="76"/>
      <c r="P5" s="77">
        <f t="shared" ref="P5:P32" si="0">SUM(D5:O5)</f>
        <v>0</v>
      </c>
      <c r="Q5"/>
    </row>
    <row r="6" spans="1:17" ht="12.75" customHeight="1" x14ac:dyDescent="0.25">
      <c r="B6" s="430"/>
      <c r="C6" s="175" t="s">
        <v>24</v>
      </c>
      <c r="D6" s="75">
        <v>6100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7">
        <f t="shared" si="0"/>
        <v>6100</v>
      </c>
      <c r="Q6"/>
    </row>
    <row r="7" spans="1:17" ht="12.75" customHeight="1" x14ac:dyDescent="0.25">
      <c r="B7" s="430"/>
      <c r="C7" s="177" t="s">
        <v>25</v>
      </c>
      <c r="D7" s="73">
        <v>2539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7">
        <f t="shared" si="0"/>
        <v>2539</v>
      </c>
      <c r="Q7"/>
    </row>
    <row r="8" spans="1:17" ht="12.75" customHeight="1" x14ac:dyDescent="0.25">
      <c r="B8" s="430"/>
      <c r="C8" s="175" t="s">
        <v>219</v>
      </c>
      <c r="D8" s="75">
        <v>23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7">
        <f t="shared" si="0"/>
        <v>23</v>
      </c>
      <c r="Q8"/>
    </row>
    <row r="9" spans="1:17" ht="12.75" customHeight="1" x14ac:dyDescent="0.25">
      <c r="B9" s="430"/>
      <c r="C9" s="178" t="s">
        <v>27</v>
      </c>
      <c r="D9" s="71">
        <v>9131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7">
        <f t="shared" si="0"/>
        <v>9131</v>
      </c>
      <c r="Q9"/>
    </row>
    <row r="10" spans="1:17" ht="12.75" customHeight="1" thickBot="1" x14ac:dyDescent="0.3">
      <c r="B10" s="431"/>
      <c r="C10" s="180" t="s">
        <v>0</v>
      </c>
      <c r="D10" s="43">
        <f t="shared" ref="D10:O10" si="1">SUM(D5:D9)</f>
        <v>17793</v>
      </c>
      <c r="E10" s="43">
        <f t="shared" si="1"/>
        <v>0</v>
      </c>
      <c r="F10" s="43">
        <f t="shared" si="1"/>
        <v>0</v>
      </c>
      <c r="G10" s="43">
        <f t="shared" si="1"/>
        <v>0</v>
      </c>
      <c r="H10" s="43">
        <f t="shared" si="1"/>
        <v>0</v>
      </c>
      <c r="I10" s="43">
        <f t="shared" si="1"/>
        <v>0</v>
      </c>
      <c r="J10" s="43">
        <f t="shared" si="1"/>
        <v>0</v>
      </c>
      <c r="K10" s="43">
        <f t="shared" si="1"/>
        <v>0</v>
      </c>
      <c r="L10" s="43">
        <f t="shared" si="1"/>
        <v>0</v>
      </c>
      <c r="M10" s="43">
        <f t="shared" si="1"/>
        <v>0</v>
      </c>
      <c r="N10" s="43">
        <f t="shared" si="1"/>
        <v>0</v>
      </c>
      <c r="O10" s="43">
        <f t="shared" si="1"/>
        <v>0</v>
      </c>
      <c r="P10" s="44">
        <f t="shared" si="0"/>
        <v>17793</v>
      </c>
      <c r="Q10"/>
    </row>
    <row r="11" spans="1:17" ht="12.75" customHeight="1" x14ac:dyDescent="0.25">
      <c r="B11" s="432" t="s">
        <v>44</v>
      </c>
      <c r="C11" s="174" t="s">
        <v>183</v>
      </c>
      <c r="D11" s="39">
        <v>3070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31">
        <f t="shared" si="0"/>
        <v>3070</v>
      </c>
      <c r="Q11"/>
    </row>
    <row r="12" spans="1:17" ht="12.75" customHeight="1" x14ac:dyDescent="0.25">
      <c r="B12" s="433"/>
      <c r="C12" s="176" t="s">
        <v>137</v>
      </c>
      <c r="D12" s="29">
        <v>646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1">
        <f t="shared" si="0"/>
        <v>646</v>
      </c>
      <c r="Q12"/>
    </row>
    <row r="13" spans="1:17" ht="12.75" customHeight="1" x14ac:dyDescent="0.25">
      <c r="B13" s="433"/>
      <c r="C13" s="181" t="s">
        <v>113</v>
      </c>
      <c r="D13" s="25">
        <v>854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31">
        <f t="shared" si="0"/>
        <v>854</v>
      </c>
      <c r="Q13"/>
    </row>
    <row r="14" spans="1:17" ht="12.75" customHeight="1" x14ac:dyDescent="0.25">
      <c r="A14"/>
      <c r="B14" s="433"/>
      <c r="C14" s="181" t="s">
        <v>59</v>
      </c>
      <c r="D14" s="25">
        <v>3636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31">
        <f t="shared" si="0"/>
        <v>3636</v>
      </c>
      <c r="Q14"/>
    </row>
    <row r="15" spans="1:17" ht="12.75" customHeight="1" x14ac:dyDescent="0.25">
      <c r="A15"/>
      <c r="B15" s="433"/>
      <c r="C15" s="181" t="s">
        <v>170</v>
      </c>
      <c r="D15" s="25">
        <v>76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31">
        <f t="shared" si="0"/>
        <v>76</v>
      </c>
      <c r="Q15"/>
    </row>
    <row r="16" spans="1:17" ht="12.75" customHeight="1" x14ac:dyDescent="0.25">
      <c r="A16"/>
      <c r="B16" s="433"/>
      <c r="C16" s="181" t="s">
        <v>124</v>
      </c>
      <c r="D16" s="25">
        <v>307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31">
        <f t="shared" si="0"/>
        <v>307</v>
      </c>
      <c r="Q16"/>
    </row>
    <row r="17" spans="1:17" ht="12.75" customHeight="1" x14ac:dyDescent="0.25">
      <c r="A17"/>
      <c r="B17" s="433"/>
      <c r="C17" s="176" t="s">
        <v>8</v>
      </c>
      <c r="D17" s="29">
        <v>2124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1">
        <f t="shared" si="0"/>
        <v>2124</v>
      </c>
      <c r="Q17"/>
    </row>
    <row r="18" spans="1:17" ht="12.75" customHeight="1" x14ac:dyDescent="0.25">
      <c r="A18"/>
      <c r="B18" s="433"/>
      <c r="C18" s="176" t="s">
        <v>133</v>
      </c>
      <c r="D18" s="29">
        <v>3922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1">
        <f t="shared" si="0"/>
        <v>3922</v>
      </c>
      <c r="Q18"/>
    </row>
    <row r="19" spans="1:17" ht="12.75" customHeight="1" thickBot="1" x14ac:dyDescent="0.3">
      <c r="A19"/>
      <c r="B19" s="434"/>
      <c r="C19" s="182" t="s">
        <v>0</v>
      </c>
      <c r="D19" s="36">
        <f>SUM(D11:D18)</f>
        <v>14635</v>
      </c>
      <c r="E19" s="36">
        <f t="shared" ref="E19:J19" si="2">SUM(E11:E18)</f>
        <v>0</v>
      </c>
      <c r="F19" s="36">
        <f t="shared" si="2"/>
        <v>0</v>
      </c>
      <c r="G19" s="36">
        <f t="shared" si="2"/>
        <v>0</v>
      </c>
      <c r="H19" s="36">
        <f t="shared" si="2"/>
        <v>0</v>
      </c>
      <c r="I19" s="36">
        <f t="shared" si="2"/>
        <v>0</v>
      </c>
      <c r="J19" s="36">
        <f t="shared" si="2"/>
        <v>0</v>
      </c>
      <c r="K19" s="36">
        <f>SUM(K11:K18)</f>
        <v>0</v>
      </c>
      <c r="L19" s="36">
        <f t="shared" ref="L19:M19" si="3">SUM(L11:L18)</f>
        <v>0</v>
      </c>
      <c r="M19" s="36">
        <f t="shared" si="3"/>
        <v>0</v>
      </c>
      <c r="N19" s="36">
        <f>SUM(N11:N18)</f>
        <v>0</v>
      </c>
      <c r="O19" s="36">
        <f t="shared" ref="O19" si="4">SUM(O11:O18)</f>
        <v>0</v>
      </c>
      <c r="P19" s="37">
        <f t="shared" si="0"/>
        <v>14635</v>
      </c>
      <c r="Q19"/>
    </row>
    <row r="20" spans="1:17" ht="12.6" customHeight="1" x14ac:dyDescent="0.25">
      <c r="A20"/>
      <c r="B20" s="429" t="s">
        <v>9</v>
      </c>
      <c r="C20" s="174" t="s">
        <v>171</v>
      </c>
      <c r="D20" s="39">
        <v>2951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1">
        <f t="shared" si="0"/>
        <v>2951</v>
      </c>
      <c r="Q20"/>
    </row>
    <row r="21" spans="1:17" ht="12.75" customHeight="1" x14ac:dyDescent="0.25">
      <c r="A21"/>
      <c r="B21" s="430"/>
      <c r="C21" s="181" t="s">
        <v>12</v>
      </c>
      <c r="D21" s="25">
        <v>6591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>
        <f t="shared" si="0"/>
        <v>6591</v>
      </c>
      <c r="Q21"/>
    </row>
    <row r="22" spans="1:17" ht="12.75" customHeight="1" thickBot="1" x14ac:dyDescent="0.3">
      <c r="A22"/>
      <c r="B22" s="431"/>
      <c r="C22" s="180" t="s">
        <v>0</v>
      </c>
      <c r="D22" s="43">
        <f t="shared" ref="D22:O22" si="5">SUM(D20:D21)</f>
        <v>9542</v>
      </c>
      <c r="E22" s="43">
        <f t="shared" si="5"/>
        <v>0</v>
      </c>
      <c r="F22" s="43">
        <f t="shared" si="5"/>
        <v>0</v>
      </c>
      <c r="G22" s="43">
        <f t="shared" si="5"/>
        <v>0</v>
      </c>
      <c r="H22" s="43">
        <f t="shared" si="5"/>
        <v>0</v>
      </c>
      <c r="I22" s="43">
        <f t="shared" si="5"/>
        <v>0</v>
      </c>
      <c r="J22" s="43">
        <f t="shared" si="5"/>
        <v>0</v>
      </c>
      <c r="K22" s="43">
        <f t="shared" si="5"/>
        <v>0</v>
      </c>
      <c r="L22" s="43">
        <f t="shared" si="5"/>
        <v>0</v>
      </c>
      <c r="M22" s="43">
        <f t="shared" si="5"/>
        <v>0</v>
      </c>
      <c r="N22" s="43">
        <f t="shared" si="5"/>
        <v>0</v>
      </c>
      <c r="O22" s="43">
        <f t="shared" si="5"/>
        <v>0</v>
      </c>
      <c r="P22" s="44">
        <f t="shared" si="0"/>
        <v>9542</v>
      </c>
      <c r="Q22"/>
    </row>
    <row r="23" spans="1:17" ht="12.75" customHeight="1" x14ac:dyDescent="0.25">
      <c r="A23"/>
      <c r="B23" s="429" t="s">
        <v>10</v>
      </c>
      <c r="C23" s="174" t="s">
        <v>13</v>
      </c>
      <c r="D23" s="39">
        <v>454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1">
        <f t="shared" si="0"/>
        <v>454</v>
      </c>
      <c r="Q23"/>
    </row>
    <row r="24" spans="1:17" ht="12.75" customHeight="1" x14ac:dyDescent="0.25">
      <c r="A24"/>
      <c r="B24" s="430"/>
      <c r="C24" s="181" t="s">
        <v>14</v>
      </c>
      <c r="D24" s="25">
        <v>724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>
        <f t="shared" si="0"/>
        <v>724</v>
      </c>
      <c r="Q24"/>
    </row>
    <row r="25" spans="1:17" ht="12.75" customHeight="1" thickBot="1" x14ac:dyDescent="0.3">
      <c r="A25"/>
      <c r="B25" s="431"/>
      <c r="C25" s="180" t="s">
        <v>0</v>
      </c>
      <c r="D25" s="43">
        <f>SUM(D23:D24)</f>
        <v>1178</v>
      </c>
      <c r="E25" s="43">
        <f t="shared" ref="E25:M25" si="6">SUM(E23:E24)</f>
        <v>0</v>
      </c>
      <c r="F25" s="43">
        <f t="shared" si="6"/>
        <v>0</v>
      </c>
      <c r="G25" s="43">
        <f t="shared" si="6"/>
        <v>0</v>
      </c>
      <c r="H25" s="43">
        <f t="shared" si="6"/>
        <v>0</v>
      </c>
      <c r="I25" s="43">
        <f t="shared" si="6"/>
        <v>0</v>
      </c>
      <c r="J25" s="43">
        <f t="shared" si="6"/>
        <v>0</v>
      </c>
      <c r="K25" s="43">
        <f t="shared" si="6"/>
        <v>0</v>
      </c>
      <c r="L25" s="43">
        <f t="shared" si="6"/>
        <v>0</v>
      </c>
      <c r="M25" s="43">
        <f t="shared" si="6"/>
        <v>0</v>
      </c>
      <c r="N25" s="43">
        <f>SUM(N23:N24)</f>
        <v>0</v>
      </c>
      <c r="O25" s="43">
        <f t="shared" ref="O25" si="7">SUM(O23:O24)</f>
        <v>0</v>
      </c>
      <c r="P25" s="44">
        <f t="shared" si="0"/>
        <v>1178</v>
      </c>
      <c r="Q25"/>
    </row>
    <row r="26" spans="1:17" ht="12.75" customHeight="1" x14ac:dyDescent="0.25">
      <c r="A26"/>
      <c r="B26" s="424" t="s">
        <v>4</v>
      </c>
      <c r="C26" s="183" t="s">
        <v>115</v>
      </c>
      <c r="D26" s="155">
        <v>317</v>
      </c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6">
        <f t="shared" si="0"/>
        <v>317</v>
      </c>
      <c r="Q26"/>
    </row>
    <row r="27" spans="1:17" ht="12.75" customHeight="1" x14ac:dyDescent="0.25">
      <c r="A27"/>
      <c r="B27" s="425"/>
      <c r="C27" s="184" t="s">
        <v>117</v>
      </c>
      <c r="D27" s="131">
        <v>4057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2">
        <f t="shared" si="0"/>
        <v>4057</v>
      </c>
      <c r="Q27"/>
    </row>
    <row r="28" spans="1:17" ht="12.75" customHeight="1" x14ac:dyDescent="0.25">
      <c r="A28"/>
      <c r="B28" s="425"/>
      <c r="C28" s="176" t="s">
        <v>131</v>
      </c>
      <c r="D28" s="29">
        <v>944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1">
        <f t="shared" si="0"/>
        <v>944</v>
      </c>
      <c r="Q28"/>
    </row>
    <row r="29" spans="1:17" ht="12.75" customHeight="1" x14ac:dyDescent="0.25">
      <c r="A29"/>
      <c r="B29" s="425"/>
      <c r="C29" s="176" t="s">
        <v>186</v>
      </c>
      <c r="D29" s="29">
        <v>7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1">
        <f t="shared" si="0"/>
        <v>7</v>
      </c>
      <c r="Q29"/>
    </row>
    <row r="30" spans="1:17" ht="12.75" customHeight="1" x14ac:dyDescent="0.25">
      <c r="A30"/>
      <c r="B30" s="425"/>
      <c r="C30" s="176" t="s">
        <v>161</v>
      </c>
      <c r="D30" s="29">
        <v>1149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>
        <f t="shared" si="0"/>
        <v>1149</v>
      </c>
      <c r="Q30"/>
    </row>
    <row r="31" spans="1:17" ht="12.75" customHeight="1" x14ac:dyDescent="0.25">
      <c r="A31"/>
      <c r="B31" s="425"/>
      <c r="C31" s="176" t="s">
        <v>148</v>
      </c>
      <c r="D31" s="29">
        <v>1881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1">
        <f t="shared" si="0"/>
        <v>1881</v>
      </c>
      <c r="Q31"/>
    </row>
    <row r="32" spans="1:17" ht="12.75" customHeight="1" thickBot="1" x14ac:dyDescent="0.3">
      <c r="A32"/>
      <c r="B32" s="426"/>
      <c r="C32" s="42" t="s">
        <v>0</v>
      </c>
      <c r="D32" s="43">
        <f>SUM(D26:D31)</f>
        <v>8355</v>
      </c>
      <c r="E32" s="43">
        <f t="shared" ref="E32:M32" si="8">SUM(E26:E31)</f>
        <v>0</v>
      </c>
      <c r="F32" s="43">
        <f t="shared" si="8"/>
        <v>0</v>
      </c>
      <c r="G32" s="43">
        <f t="shared" si="8"/>
        <v>0</v>
      </c>
      <c r="H32" s="43">
        <f t="shared" si="8"/>
        <v>0</v>
      </c>
      <c r="I32" s="43">
        <f t="shared" si="8"/>
        <v>0</v>
      </c>
      <c r="J32" s="43">
        <f t="shared" si="8"/>
        <v>0</v>
      </c>
      <c r="K32" s="43">
        <f t="shared" si="8"/>
        <v>0</v>
      </c>
      <c r="L32" s="43">
        <f t="shared" si="8"/>
        <v>0</v>
      </c>
      <c r="M32" s="43">
        <f t="shared" si="8"/>
        <v>0</v>
      </c>
      <c r="N32" s="43">
        <f>SUM(N26:N31)</f>
        <v>0</v>
      </c>
      <c r="O32" s="43">
        <f t="shared" ref="O32" si="9">SUM(O26:O31)</f>
        <v>0</v>
      </c>
      <c r="P32" s="293">
        <f t="shared" si="0"/>
        <v>8355</v>
      </c>
      <c r="Q32"/>
    </row>
    <row r="33" spans="1:18" ht="12.75" customHeight="1" thickBot="1" x14ac:dyDescent="0.3">
      <c r="A33"/>
      <c r="B33" s="440" t="s">
        <v>2</v>
      </c>
      <c r="C33" s="441"/>
      <c r="D33" s="45">
        <f t="shared" ref="D33:P33" si="10">SUM(D10,D19,D22,D25,D32)</f>
        <v>51503</v>
      </c>
      <c r="E33" s="45">
        <f t="shared" si="10"/>
        <v>0</v>
      </c>
      <c r="F33" s="45">
        <f t="shared" si="10"/>
        <v>0</v>
      </c>
      <c r="G33" s="45">
        <f t="shared" si="10"/>
        <v>0</v>
      </c>
      <c r="H33" s="45">
        <f t="shared" si="10"/>
        <v>0</v>
      </c>
      <c r="I33" s="45">
        <f t="shared" si="10"/>
        <v>0</v>
      </c>
      <c r="J33" s="45">
        <f t="shared" si="10"/>
        <v>0</v>
      </c>
      <c r="K33" s="45">
        <f t="shared" si="10"/>
        <v>0</v>
      </c>
      <c r="L33" s="45">
        <f t="shared" si="10"/>
        <v>0</v>
      </c>
      <c r="M33" s="45">
        <f t="shared" si="10"/>
        <v>0</v>
      </c>
      <c r="N33" s="45">
        <f t="shared" si="10"/>
        <v>0</v>
      </c>
      <c r="O33" s="45">
        <f t="shared" si="10"/>
        <v>0</v>
      </c>
      <c r="P33" s="294">
        <f t="shared" si="10"/>
        <v>51503</v>
      </c>
      <c r="Q33"/>
    </row>
    <row r="34" spans="1:18" ht="4.5" customHeight="1" x14ac:dyDescent="0.25">
      <c r="A34"/>
      <c r="J34" s="115"/>
      <c r="Q34"/>
    </row>
    <row r="35" spans="1:18" ht="9.6" customHeight="1" x14ac:dyDescent="0.25">
      <c r="A35"/>
      <c r="B35" s="81" t="s">
        <v>24</v>
      </c>
      <c r="C35" s="82"/>
      <c r="D35" s="83">
        <f>SUM(D36:D38)</f>
        <v>6100</v>
      </c>
      <c r="E35" s="83">
        <f t="shared" ref="E35:P35" si="11">SUM(E36:E38)</f>
        <v>0</v>
      </c>
      <c r="F35" s="83">
        <f t="shared" si="11"/>
        <v>0</v>
      </c>
      <c r="G35" s="83">
        <f t="shared" si="11"/>
        <v>0</v>
      </c>
      <c r="H35" s="83">
        <f t="shared" si="11"/>
        <v>0</v>
      </c>
      <c r="I35" s="83">
        <f t="shared" si="11"/>
        <v>0</v>
      </c>
      <c r="J35" s="83">
        <f t="shared" si="11"/>
        <v>0</v>
      </c>
      <c r="K35" s="83">
        <f t="shared" si="11"/>
        <v>0</v>
      </c>
      <c r="L35" s="83">
        <f t="shared" si="11"/>
        <v>0</v>
      </c>
      <c r="M35" s="83">
        <f t="shared" si="11"/>
        <v>0</v>
      </c>
      <c r="N35" s="83">
        <f t="shared" si="11"/>
        <v>0</v>
      </c>
      <c r="O35" s="83">
        <f t="shared" si="11"/>
        <v>0</v>
      </c>
      <c r="P35" s="83">
        <f t="shared" si="11"/>
        <v>6100</v>
      </c>
      <c r="R35" s="278"/>
    </row>
    <row r="36" spans="1:18" ht="9.75" customHeight="1" x14ac:dyDescent="0.25">
      <c r="A36"/>
      <c r="B36" s="85"/>
      <c r="C36" s="86" t="s">
        <v>153</v>
      </c>
      <c r="D36" s="99">
        <v>5241</v>
      </c>
      <c r="E36" s="99"/>
      <c r="F36" s="87"/>
      <c r="G36" s="100"/>
      <c r="H36" s="87"/>
      <c r="I36" s="97"/>
      <c r="J36" s="98"/>
      <c r="K36" s="90"/>
      <c r="L36" s="90"/>
      <c r="M36" s="90"/>
      <c r="N36" s="90"/>
      <c r="O36" s="90"/>
      <c r="P36" s="273">
        <f>SUM(D36:O36)</f>
        <v>5241</v>
      </c>
    </row>
    <row r="37" spans="1:18" ht="9.75" customHeight="1" x14ac:dyDescent="0.25">
      <c r="A37"/>
      <c r="B37" s="85"/>
      <c r="C37" s="86" t="s">
        <v>154</v>
      </c>
      <c r="D37" s="87">
        <v>777</v>
      </c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273">
        <f>SUM(D37:O37)</f>
        <v>777</v>
      </c>
    </row>
    <row r="38" spans="1:18" ht="9.75" customHeight="1" x14ac:dyDescent="0.25">
      <c r="A38"/>
      <c r="B38" s="89"/>
      <c r="C38" s="86" t="s">
        <v>233</v>
      </c>
      <c r="D38" s="87">
        <v>82</v>
      </c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273">
        <f>SUM(D38:O38)</f>
        <v>82</v>
      </c>
    </row>
    <row r="39" spans="1:18" ht="4.5" customHeight="1" x14ac:dyDescent="0.25">
      <c r="A39"/>
      <c r="J39" s="115"/>
      <c r="Q39"/>
    </row>
    <row r="40" spans="1:18" ht="10.199999999999999" customHeight="1" x14ac:dyDescent="0.25">
      <c r="A40"/>
      <c r="B40" s="92" t="s">
        <v>25</v>
      </c>
      <c r="C40" s="93"/>
      <c r="D40" s="83">
        <f t="shared" ref="D40:P40" si="12">SUM(D41:D43)</f>
        <v>2539</v>
      </c>
      <c r="E40" s="83">
        <f t="shared" si="12"/>
        <v>0</v>
      </c>
      <c r="F40" s="83">
        <f t="shared" si="12"/>
        <v>0</v>
      </c>
      <c r="G40" s="83">
        <f t="shared" si="12"/>
        <v>0</v>
      </c>
      <c r="H40" s="83">
        <f t="shared" si="12"/>
        <v>0</v>
      </c>
      <c r="I40" s="83">
        <f t="shared" si="12"/>
        <v>0</v>
      </c>
      <c r="J40" s="83">
        <f t="shared" si="12"/>
        <v>0</v>
      </c>
      <c r="K40" s="83">
        <f t="shared" si="12"/>
        <v>0</v>
      </c>
      <c r="L40" s="83">
        <f t="shared" si="12"/>
        <v>0</v>
      </c>
      <c r="M40" s="83">
        <f t="shared" si="12"/>
        <v>0</v>
      </c>
      <c r="N40" s="83">
        <f t="shared" si="12"/>
        <v>0</v>
      </c>
      <c r="O40" s="83">
        <f t="shared" si="12"/>
        <v>0</v>
      </c>
      <c r="P40" s="83">
        <f t="shared" si="12"/>
        <v>2539</v>
      </c>
    </row>
    <row r="41" spans="1:18" ht="9.9" customHeight="1" x14ac:dyDescent="0.25">
      <c r="A41"/>
      <c r="B41" s="85"/>
      <c r="C41" s="86" t="s">
        <v>52</v>
      </c>
      <c r="D41" s="122">
        <v>996</v>
      </c>
      <c r="E41" s="122"/>
      <c r="F41" s="122"/>
      <c r="G41" s="87"/>
      <c r="H41" s="87"/>
      <c r="I41" s="87"/>
      <c r="J41" s="87"/>
      <c r="K41" s="87"/>
      <c r="L41" s="87"/>
      <c r="M41" s="87"/>
      <c r="N41" s="87"/>
      <c r="O41" s="87"/>
      <c r="P41" s="272">
        <f>SUM(D41:O41)</f>
        <v>996</v>
      </c>
    </row>
    <row r="42" spans="1:18" ht="9.9" customHeight="1" x14ac:dyDescent="0.25">
      <c r="A42"/>
      <c r="B42" s="85"/>
      <c r="C42" s="86" t="s">
        <v>136</v>
      </c>
      <c r="D42" s="87">
        <v>1189</v>
      </c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272">
        <f>SUM(D42:O42)</f>
        <v>1189</v>
      </c>
    </row>
    <row r="43" spans="1:18" ht="9.9" customHeight="1" x14ac:dyDescent="0.25">
      <c r="A43"/>
      <c r="B43" s="89"/>
      <c r="C43" s="86" t="s">
        <v>139</v>
      </c>
      <c r="D43" s="87">
        <v>354</v>
      </c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272">
        <f>SUM(D43:O43)</f>
        <v>354</v>
      </c>
    </row>
    <row r="44" spans="1:18" ht="6" customHeight="1" x14ac:dyDescent="0.25">
      <c r="A44"/>
      <c r="B44" s="101"/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6"/>
    </row>
    <row r="45" spans="1:18" ht="11.4" customHeight="1" x14ac:dyDescent="0.25">
      <c r="A45"/>
      <c r="B45" s="81" t="s">
        <v>27</v>
      </c>
      <c r="C45" s="82"/>
      <c r="D45" s="83">
        <f>SUM(D46:D49)</f>
        <v>9131</v>
      </c>
      <c r="E45" s="83">
        <f t="shared" ref="E45:P45" si="13">SUM(E46:E49)</f>
        <v>0</v>
      </c>
      <c r="F45" s="83">
        <f t="shared" si="13"/>
        <v>0</v>
      </c>
      <c r="G45" s="83">
        <f t="shared" si="13"/>
        <v>0</v>
      </c>
      <c r="H45" s="83">
        <f t="shared" si="13"/>
        <v>0</v>
      </c>
      <c r="I45" s="83">
        <f t="shared" si="13"/>
        <v>0</v>
      </c>
      <c r="J45" s="83">
        <f t="shared" si="13"/>
        <v>0</v>
      </c>
      <c r="K45" s="83">
        <f t="shared" si="13"/>
        <v>0</v>
      </c>
      <c r="L45" s="83">
        <f t="shared" si="13"/>
        <v>0</v>
      </c>
      <c r="M45" s="83">
        <f t="shared" si="13"/>
        <v>0</v>
      </c>
      <c r="N45" s="83">
        <f t="shared" si="13"/>
        <v>0</v>
      </c>
      <c r="O45" s="83">
        <f t="shared" si="13"/>
        <v>0</v>
      </c>
      <c r="P45" s="83">
        <f t="shared" si="13"/>
        <v>9131</v>
      </c>
    </row>
    <row r="46" spans="1:18" ht="9.75" customHeight="1" x14ac:dyDescent="0.25">
      <c r="A46"/>
      <c r="B46" s="85"/>
      <c r="C46" s="147" t="s">
        <v>79</v>
      </c>
      <c r="D46" s="148">
        <v>11</v>
      </c>
      <c r="E46" s="148"/>
      <c r="F46" s="149"/>
      <c r="G46" s="150"/>
      <c r="H46" s="149"/>
      <c r="I46" s="151"/>
      <c r="J46" s="151"/>
      <c r="K46" s="149"/>
      <c r="L46" s="149"/>
      <c r="M46" s="149"/>
      <c r="N46" s="149"/>
      <c r="O46" s="149"/>
      <c r="P46" s="272">
        <f>SUM(D46:O46)</f>
        <v>11</v>
      </c>
    </row>
    <row r="47" spans="1:18" ht="9.75" customHeight="1" x14ac:dyDescent="0.25">
      <c r="A47"/>
      <c r="B47" s="85"/>
      <c r="C47" s="86" t="s">
        <v>140</v>
      </c>
      <c r="D47" s="99">
        <v>2</v>
      </c>
      <c r="E47" s="99"/>
      <c r="F47" s="87"/>
      <c r="G47" s="100"/>
      <c r="H47" s="87"/>
      <c r="I47" s="97"/>
      <c r="J47" s="98"/>
      <c r="K47" s="90"/>
      <c r="L47" s="90"/>
      <c r="M47" s="90"/>
      <c r="N47" s="90"/>
      <c r="O47" s="90"/>
      <c r="P47" s="272">
        <f>SUM(D47:O47)</f>
        <v>2</v>
      </c>
    </row>
    <row r="48" spans="1:18" ht="9.75" customHeight="1" x14ac:dyDescent="0.25">
      <c r="A48"/>
      <c r="B48" s="85"/>
      <c r="C48" s="147" t="s">
        <v>220</v>
      </c>
      <c r="D48" s="148">
        <v>5407</v>
      </c>
      <c r="E48" s="148"/>
      <c r="F48" s="149"/>
      <c r="G48" s="150"/>
      <c r="H48" s="149"/>
      <c r="I48" s="151"/>
      <c r="J48" s="151"/>
      <c r="K48" s="149"/>
      <c r="L48" s="149"/>
      <c r="M48" s="149"/>
      <c r="N48" s="149"/>
      <c r="O48" s="149"/>
      <c r="P48" s="272">
        <f>SUM(D48:O48)</f>
        <v>5407</v>
      </c>
    </row>
    <row r="49" spans="1:17" ht="9.75" customHeight="1" x14ac:dyDescent="0.25">
      <c r="A49"/>
      <c r="B49" s="89"/>
      <c r="C49" s="86" t="s">
        <v>221</v>
      </c>
      <c r="D49" s="87">
        <v>3711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272">
        <f>SUM(D49:O49)</f>
        <v>3711</v>
      </c>
    </row>
    <row r="50" spans="1:17" ht="6" customHeight="1" x14ac:dyDescent="0.25">
      <c r="A50"/>
      <c r="B50" s="101"/>
      <c r="C50" s="94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</row>
    <row r="51" spans="1:17" ht="9.9" customHeight="1" x14ac:dyDescent="0.25">
      <c r="B51" s="81" t="s">
        <v>113</v>
      </c>
      <c r="C51" s="82"/>
      <c r="D51" s="83">
        <f t="shared" ref="D51:P51" si="14">SUM(D52:D56)</f>
        <v>854</v>
      </c>
      <c r="E51" s="83">
        <f t="shared" si="14"/>
        <v>0</v>
      </c>
      <c r="F51" s="83">
        <f t="shared" si="14"/>
        <v>0</v>
      </c>
      <c r="G51" s="83">
        <f t="shared" si="14"/>
        <v>0</v>
      </c>
      <c r="H51" s="83">
        <f t="shared" si="14"/>
        <v>0</v>
      </c>
      <c r="I51" s="83">
        <f t="shared" si="14"/>
        <v>0</v>
      </c>
      <c r="J51" s="83">
        <f t="shared" si="14"/>
        <v>0</v>
      </c>
      <c r="K51" s="83">
        <f t="shared" si="14"/>
        <v>0</v>
      </c>
      <c r="L51" s="83">
        <f t="shared" si="14"/>
        <v>0</v>
      </c>
      <c r="M51" s="83">
        <f t="shared" si="14"/>
        <v>0</v>
      </c>
      <c r="N51" s="83">
        <f t="shared" si="14"/>
        <v>0</v>
      </c>
      <c r="O51" s="83">
        <f t="shared" si="14"/>
        <v>0</v>
      </c>
      <c r="P51" s="83">
        <f t="shared" si="14"/>
        <v>234</v>
      </c>
    </row>
    <row r="52" spans="1:17" ht="9.9" customHeight="1" x14ac:dyDescent="0.25">
      <c r="B52" s="85"/>
      <c r="C52" s="86" t="s">
        <v>128</v>
      </c>
      <c r="D52" s="99">
        <v>47</v>
      </c>
      <c r="E52" s="99"/>
      <c r="F52" s="87"/>
      <c r="G52" s="100"/>
      <c r="H52" s="87"/>
      <c r="I52" s="97"/>
      <c r="J52" s="98"/>
      <c r="K52" s="90"/>
      <c r="L52" s="90"/>
      <c r="M52" s="90"/>
      <c r="N52" s="90"/>
      <c r="O52" s="90"/>
      <c r="P52" s="273">
        <f>SUM(D52:O52)</f>
        <v>47</v>
      </c>
    </row>
    <row r="53" spans="1:17" ht="9.9" customHeight="1" x14ac:dyDescent="0.25">
      <c r="B53" s="85"/>
      <c r="C53" s="86" t="s">
        <v>231</v>
      </c>
      <c r="D53" s="99">
        <v>186</v>
      </c>
      <c r="E53" s="99"/>
      <c r="F53" s="87"/>
      <c r="G53" s="100"/>
      <c r="H53" s="87"/>
      <c r="I53" s="97"/>
      <c r="J53" s="97"/>
      <c r="K53" s="87"/>
      <c r="L53" s="87"/>
      <c r="M53" s="87"/>
      <c r="N53" s="87"/>
      <c r="O53" s="87"/>
      <c r="P53" s="273">
        <f>SUM(D53:O53)</f>
        <v>186</v>
      </c>
    </row>
    <row r="54" spans="1:17" ht="9.9" customHeight="1" x14ac:dyDescent="0.25">
      <c r="B54" s="85"/>
      <c r="C54" s="86" t="s">
        <v>232</v>
      </c>
      <c r="D54" s="99">
        <v>1</v>
      </c>
      <c r="E54" s="99"/>
      <c r="F54" s="87"/>
      <c r="G54" s="100"/>
      <c r="H54" s="87"/>
      <c r="I54" s="97"/>
      <c r="J54" s="97"/>
      <c r="K54" s="87"/>
      <c r="L54" s="87"/>
      <c r="M54" s="87"/>
      <c r="N54" s="87"/>
      <c r="O54" s="87"/>
      <c r="P54" s="273">
        <f>SUM(D54:O54)</f>
        <v>1</v>
      </c>
    </row>
    <row r="55" spans="1:17" ht="9.9" customHeight="1" x14ac:dyDescent="0.25">
      <c r="B55" s="85"/>
      <c r="C55" s="86" t="s">
        <v>229</v>
      </c>
      <c r="D55" s="99">
        <v>620</v>
      </c>
      <c r="E55" s="99"/>
      <c r="F55" s="87"/>
      <c r="G55" s="100"/>
      <c r="H55" s="87"/>
      <c r="I55" s="97"/>
      <c r="J55" s="97"/>
      <c r="K55" s="87"/>
      <c r="L55" s="87"/>
      <c r="M55" s="87"/>
      <c r="N55" s="87"/>
      <c r="O55" s="87"/>
      <c r="P55" s="273"/>
    </row>
    <row r="56" spans="1:17" ht="9.9" customHeight="1" x14ac:dyDescent="0.25">
      <c r="B56" s="85"/>
      <c r="C56" s="86" t="s">
        <v>230</v>
      </c>
      <c r="D56" s="99">
        <v>0</v>
      </c>
      <c r="E56" s="99"/>
      <c r="F56" s="87"/>
      <c r="G56" s="100"/>
      <c r="H56" s="87"/>
      <c r="I56" s="97"/>
      <c r="J56" s="97"/>
      <c r="K56" s="87"/>
      <c r="L56" s="87"/>
      <c r="M56" s="87"/>
      <c r="N56" s="87"/>
      <c r="O56" s="87"/>
      <c r="P56" s="273"/>
    </row>
    <row r="57" spans="1:17" s="207" customFormat="1" ht="6.6" customHeight="1" x14ac:dyDescent="0.25">
      <c r="A57" s="202"/>
      <c r="B57" s="101"/>
      <c r="C57" s="101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5"/>
      <c r="Q57" s="206"/>
    </row>
    <row r="58" spans="1:17" ht="9.9" customHeight="1" x14ac:dyDescent="0.25">
      <c r="B58" s="81" t="s">
        <v>59</v>
      </c>
      <c r="C58" s="82"/>
      <c r="D58" s="83">
        <f>SUM(D59:D60)</f>
        <v>3636</v>
      </c>
      <c r="E58" s="83">
        <f>SUM(E59:E60)</f>
        <v>0</v>
      </c>
      <c r="F58" s="83">
        <f t="shared" ref="F58:P58" si="15">SUM(F59:F60)</f>
        <v>0</v>
      </c>
      <c r="G58" s="83">
        <f t="shared" si="15"/>
        <v>0</v>
      </c>
      <c r="H58" s="83">
        <f t="shared" si="15"/>
        <v>0</v>
      </c>
      <c r="I58" s="83">
        <f t="shared" si="15"/>
        <v>0</v>
      </c>
      <c r="J58" s="83">
        <f t="shared" si="15"/>
        <v>0</v>
      </c>
      <c r="K58" s="83">
        <f t="shared" si="15"/>
        <v>0</v>
      </c>
      <c r="L58" s="83">
        <f t="shared" si="15"/>
        <v>0</v>
      </c>
      <c r="M58" s="83">
        <f t="shared" si="15"/>
        <v>0</v>
      </c>
      <c r="N58" s="83">
        <f t="shared" si="15"/>
        <v>0</v>
      </c>
      <c r="O58" s="83">
        <f t="shared" si="15"/>
        <v>0</v>
      </c>
      <c r="P58" s="83">
        <f t="shared" si="15"/>
        <v>3636</v>
      </c>
    </row>
    <row r="59" spans="1:17" ht="9.9" customHeight="1" x14ac:dyDescent="0.25">
      <c r="B59" s="85"/>
      <c r="C59" s="86" t="s">
        <v>156</v>
      </c>
      <c r="D59" s="99">
        <v>2044</v>
      </c>
      <c r="E59" s="99"/>
      <c r="F59" s="87"/>
      <c r="G59" s="100"/>
      <c r="H59" s="87"/>
      <c r="I59" s="97"/>
      <c r="J59" s="97"/>
      <c r="K59" s="87"/>
      <c r="L59" s="87"/>
      <c r="M59" s="87"/>
      <c r="N59" s="87"/>
      <c r="O59" s="87"/>
      <c r="P59" s="273">
        <f>SUM(D59:O59)</f>
        <v>2044</v>
      </c>
    </row>
    <row r="60" spans="1:17" ht="9.9" customHeight="1" x14ac:dyDescent="0.25">
      <c r="B60" s="89"/>
      <c r="C60" s="86" t="s">
        <v>157</v>
      </c>
      <c r="D60" s="99">
        <v>1592</v>
      </c>
      <c r="E60" s="99"/>
      <c r="F60" s="87"/>
      <c r="G60" s="100"/>
      <c r="H60" s="87"/>
      <c r="I60" s="97"/>
      <c r="J60" s="97"/>
      <c r="K60" s="87"/>
      <c r="L60" s="87"/>
      <c r="M60" s="87"/>
      <c r="N60" s="87"/>
      <c r="O60" s="87"/>
      <c r="P60" s="273">
        <f>SUM(D60:O60)</f>
        <v>1592</v>
      </c>
    </row>
    <row r="61" spans="1:17" s="207" customFormat="1" ht="6.6" customHeight="1" x14ac:dyDescent="0.25">
      <c r="A61" s="202"/>
      <c r="B61" s="101"/>
      <c r="C61" s="101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5"/>
      <c r="Q61" s="206"/>
    </row>
    <row r="62" spans="1:17" ht="9.9" customHeight="1" x14ac:dyDescent="0.25">
      <c r="B62" s="81" t="s">
        <v>8</v>
      </c>
      <c r="C62" s="82"/>
      <c r="D62" s="267">
        <f>SUM(D63:D64)</f>
        <v>2124</v>
      </c>
      <c r="E62" s="267">
        <f t="shared" ref="E62:P62" si="16">SUM(E63:E64)</f>
        <v>0</v>
      </c>
      <c r="F62" s="267">
        <f t="shared" si="16"/>
        <v>0</v>
      </c>
      <c r="G62" s="267">
        <f t="shared" si="16"/>
        <v>0</v>
      </c>
      <c r="H62" s="267">
        <f t="shared" si="16"/>
        <v>0</v>
      </c>
      <c r="I62" s="267">
        <f t="shared" si="16"/>
        <v>0</v>
      </c>
      <c r="J62" s="267">
        <f t="shared" si="16"/>
        <v>0</v>
      </c>
      <c r="K62" s="267">
        <f t="shared" si="16"/>
        <v>0</v>
      </c>
      <c r="L62" s="267">
        <f t="shared" si="16"/>
        <v>0</v>
      </c>
      <c r="M62" s="267">
        <f t="shared" si="16"/>
        <v>0</v>
      </c>
      <c r="N62" s="267">
        <f t="shared" si="16"/>
        <v>0</v>
      </c>
      <c r="O62" s="267">
        <f t="shared" si="16"/>
        <v>0</v>
      </c>
      <c r="P62" s="267">
        <f t="shared" si="16"/>
        <v>2124</v>
      </c>
    </row>
    <row r="63" spans="1:17" ht="9.9" customHeight="1" x14ac:dyDescent="0.25">
      <c r="B63" s="85"/>
      <c r="C63" s="86" t="s">
        <v>123</v>
      </c>
      <c r="D63" s="87">
        <v>1063</v>
      </c>
      <c r="E63" s="87"/>
      <c r="F63" s="87"/>
      <c r="G63" s="87"/>
      <c r="H63" s="87"/>
      <c r="I63" s="87"/>
      <c r="J63" s="97"/>
      <c r="K63" s="87"/>
      <c r="L63" s="87"/>
      <c r="M63" s="87"/>
      <c r="N63" s="87"/>
      <c r="O63" s="87"/>
      <c r="P63" s="273">
        <f>SUM(D63:O63)</f>
        <v>1063</v>
      </c>
    </row>
    <row r="64" spans="1:17" ht="9.9" customHeight="1" x14ac:dyDescent="0.25">
      <c r="B64" s="89"/>
      <c r="C64" s="86" t="s">
        <v>180</v>
      </c>
      <c r="D64" s="268">
        <v>1061</v>
      </c>
      <c r="E64" s="268"/>
      <c r="F64" s="269"/>
      <c r="G64" s="270"/>
      <c r="H64" s="269"/>
      <c r="I64" s="271"/>
      <c r="J64" s="97"/>
      <c r="K64" s="87"/>
      <c r="L64" s="87"/>
      <c r="M64" s="87"/>
      <c r="N64" s="87"/>
      <c r="O64" s="87"/>
      <c r="P64" s="273">
        <f>SUM(D64:O64)</f>
        <v>1061</v>
      </c>
    </row>
    <row r="65" spans="1:17" s="207" customFormat="1" ht="7.2" customHeight="1" x14ac:dyDescent="0.25">
      <c r="A65" s="202"/>
      <c r="B65" s="101"/>
      <c r="C65" s="101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5"/>
      <c r="Q65" s="206"/>
    </row>
    <row r="66" spans="1:17" ht="10.199999999999999" customHeight="1" x14ac:dyDescent="0.25">
      <c r="B66" s="92" t="s">
        <v>117</v>
      </c>
      <c r="C66" s="93"/>
      <c r="D66" s="83">
        <f t="shared" ref="D66:P66" si="17">SUM(D67:D68)</f>
        <v>4057</v>
      </c>
      <c r="E66" s="83">
        <f t="shared" si="17"/>
        <v>0</v>
      </c>
      <c r="F66" s="83">
        <f t="shared" si="17"/>
        <v>0</v>
      </c>
      <c r="G66" s="83">
        <f t="shared" si="17"/>
        <v>0</v>
      </c>
      <c r="H66" s="83">
        <f t="shared" si="17"/>
        <v>0</v>
      </c>
      <c r="I66" s="83">
        <f t="shared" si="17"/>
        <v>0</v>
      </c>
      <c r="J66" s="83">
        <f t="shared" si="17"/>
        <v>0</v>
      </c>
      <c r="K66" s="83">
        <f t="shared" si="17"/>
        <v>0</v>
      </c>
      <c r="L66" s="83">
        <f t="shared" si="17"/>
        <v>0</v>
      </c>
      <c r="M66" s="83">
        <f t="shared" si="17"/>
        <v>0</v>
      </c>
      <c r="N66" s="83">
        <f t="shared" si="17"/>
        <v>0</v>
      </c>
      <c r="O66" s="83">
        <f t="shared" si="17"/>
        <v>0</v>
      </c>
      <c r="P66" s="83">
        <f t="shared" si="17"/>
        <v>4057</v>
      </c>
    </row>
    <row r="67" spans="1:17" ht="9.9" customHeight="1" x14ac:dyDescent="0.25">
      <c r="B67" s="85"/>
      <c r="C67" s="86" t="s">
        <v>151</v>
      </c>
      <c r="D67" s="99">
        <v>4052</v>
      </c>
      <c r="E67" s="99"/>
      <c r="F67" s="99"/>
      <c r="G67" s="99"/>
      <c r="H67" s="99"/>
      <c r="I67" s="99"/>
      <c r="J67" s="99"/>
      <c r="K67" s="99"/>
      <c r="L67" s="99"/>
      <c r="M67" s="99"/>
      <c r="N67" s="90"/>
      <c r="O67" s="90"/>
      <c r="P67" s="272">
        <f>SUM(D67:O67)</f>
        <v>4052</v>
      </c>
    </row>
    <row r="68" spans="1:17" s="16" customFormat="1" ht="8.4" customHeight="1" x14ac:dyDescent="0.25">
      <c r="A68" s="20"/>
      <c r="B68" s="89"/>
      <c r="C68" s="86" t="s">
        <v>194</v>
      </c>
      <c r="D68" s="99">
        <v>5</v>
      </c>
      <c r="E68" s="99"/>
      <c r="F68" s="99"/>
      <c r="G68" s="99"/>
      <c r="H68" s="99"/>
      <c r="I68" s="99"/>
      <c r="J68" s="99"/>
      <c r="K68" s="99"/>
      <c r="L68" s="99"/>
      <c r="M68" s="99"/>
      <c r="N68" s="90"/>
      <c r="O68" s="90"/>
      <c r="P68" s="272">
        <f>SUM(D68:O68)</f>
        <v>5</v>
      </c>
      <c r="Q68" s="112"/>
    </row>
    <row r="69" spans="1:17" ht="6.6" customHeight="1" x14ac:dyDescent="0.25">
      <c r="A69" s="190"/>
      <c r="B69" s="191"/>
      <c r="C69" s="191"/>
      <c r="D69" s="192"/>
      <c r="E69" s="192"/>
      <c r="F69" s="192"/>
      <c r="G69" s="192"/>
      <c r="H69" s="192"/>
      <c r="I69" s="192"/>
      <c r="J69" s="193"/>
      <c r="K69" s="193"/>
      <c r="L69" s="193"/>
      <c r="M69" s="193"/>
      <c r="N69" s="193"/>
      <c r="O69" s="193"/>
      <c r="P69" s="194"/>
    </row>
    <row r="70" spans="1:17" ht="10.199999999999999" customHeight="1" x14ac:dyDescent="0.25">
      <c r="B70" s="81" t="s">
        <v>161</v>
      </c>
      <c r="C70" s="82"/>
      <c r="D70" s="83">
        <f>SUM(D71,D72)</f>
        <v>1149</v>
      </c>
      <c r="E70" s="83">
        <f t="shared" ref="E70:O70" si="18">SUM(E71,E72)</f>
        <v>0</v>
      </c>
      <c r="F70" s="83">
        <f t="shared" si="18"/>
        <v>0</v>
      </c>
      <c r="G70" s="83">
        <f t="shared" si="18"/>
        <v>0</v>
      </c>
      <c r="H70" s="83">
        <f t="shared" si="18"/>
        <v>0</v>
      </c>
      <c r="I70" s="83">
        <f t="shared" si="18"/>
        <v>0</v>
      </c>
      <c r="J70" s="83">
        <f t="shared" si="18"/>
        <v>0</v>
      </c>
      <c r="K70" s="83">
        <f t="shared" si="18"/>
        <v>0</v>
      </c>
      <c r="L70" s="83">
        <f t="shared" si="18"/>
        <v>0</v>
      </c>
      <c r="M70" s="83">
        <f t="shared" si="18"/>
        <v>0</v>
      </c>
      <c r="N70" s="83">
        <f t="shared" si="18"/>
        <v>0</v>
      </c>
      <c r="O70" s="83">
        <f t="shared" si="18"/>
        <v>0</v>
      </c>
      <c r="P70" s="83">
        <f>SUM(P71:P72)</f>
        <v>1149</v>
      </c>
    </row>
    <row r="71" spans="1:17" ht="9.9" customHeight="1" x14ac:dyDescent="0.25">
      <c r="B71" s="85"/>
      <c r="C71" s="86" t="s">
        <v>193</v>
      </c>
      <c r="D71" s="99">
        <v>1146</v>
      </c>
      <c r="E71" s="99"/>
      <c r="F71" s="99"/>
      <c r="G71" s="99"/>
      <c r="H71" s="99"/>
      <c r="I71" s="99"/>
      <c r="J71" s="99"/>
      <c r="K71" s="99"/>
      <c r="L71" s="99"/>
      <c r="M71" s="99"/>
      <c r="N71" s="90"/>
      <c r="O71" s="90"/>
      <c r="P71" s="272">
        <f>SUM(D71:O71)</f>
        <v>1146</v>
      </c>
    </row>
    <row r="72" spans="1:17" s="16" customFormat="1" ht="8.4" customHeight="1" x14ac:dyDescent="0.25">
      <c r="A72" s="20"/>
      <c r="B72" s="89"/>
      <c r="C72" s="86" t="s">
        <v>195</v>
      </c>
      <c r="D72" s="99">
        <v>3</v>
      </c>
      <c r="E72" s="99"/>
      <c r="F72" s="99"/>
      <c r="G72" s="99"/>
      <c r="H72" s="99"/>
      <c r="I72" s="99"/>
      <c r="J72" s="99"/>
      <c r="K72" s="99"/>
      <c r="L72" s="99"/>
      <c r="M72" s="99"/>
      <c r="N72" s="90"/>
      <c r="O72" s="90"/>
      <c r="P72" s="272">
        <f>SUM(D72:O72)</f>
        <v>3</v>
      </c>
      <c r="Q72" s="112"/>
    </row>
    <row r="73" spans="1:17" ht="6.6" customHeight="1" x14ac:dyDescent="0.25">
      <c r="A73" s="190"/>
      <c r="B73" s="191"/>
      <c r="C73" s="191"/>
      <c r="D73" s="192"/>
      <c r="E73" s="192"/>
      <c r="F73" s="192"/>
      <c r="G73" s="192"/>
      <c r="H73" s="192"/>
      <c r="I73" s="192"/>
      <c r="J73" s="193"/>
      <c r="K73" s="193"/>
      <c r="L73" s="193"/>
      <c r="M73" s="193"/>
      <c r="N73" s="193"/>
      <c r="O73" s="193"/>
      <c r="P73" s="194"/>
    </row>
    <row r="74" spans="1:17" ht="10.199999999999999" customHeight="1" x14ac:dyDescent="0.25">
      <c r="B74" s="81" t="s">
        <v>12</v>
      </c>
      <c r="C74" s="82"/>
      <c r="D74" s="83">
        <f>SUM(D75:D76)</f>
        <v>6591</v>
      </c>
      <c r="E74" s="83">
        <f t="shared" ref="E74:P74" si="19">SUM(E75:E76)</f>
        <v>0</v>
      </c>
      <c r="F74" s="83">
        <f t="shared" si="19"/>
        <v>0</v>
      </c>
      <c r="G74" s="83">
        <f t="shared" si="19"/>
        <v>0</v>
      </c>
      <c r="H74" s="83">
        <f t="shared" si="19"/>
        <v>0</v>
      </c>
      <c r="I74" s="83">
        <f t="shared" si="19"/>
        <v>0</v>
      </c>
      <c r="J74" s="83">
        <f t="shared" si="19"/>
        <v>0</v>
      </c>
      <c r="K74" s="83">
        <f t="shared" si="19"/>
        <v>0</v>
      </c>
      <c r="L74" s="83">
        <f t="shared" si="19"/>
        <v>0</v>
      </c>
      <c r="M74" s="83">
        <f t="shared" si="19"/>
        <v>0</v>
      </c>
      <c r="N74" s="83">
        <f t="shared" si="19"/>
        <v>0</v>
      </c>
      <c r="O74" s="83">
        <f t="shared" si="19"/>
        <v>0</v>
      </c>
      <c r="P74" s="83">
        <f t="shared" si="19"/>
        <v>6591</v>
      </c>
    </row>
    <row r="75" spans="1:17" ht="9" customHeight="1" x14ac:dyDescent="0.25">
      <c r="B75" s="85"/>
      <c r="C75" s="86" t="s">
        <v>196</v>
      </c>
      <c r="D75" s="99">
        <v>6578</v>
      </c>
      <c r="E75" s="99"/>
      <c r="F75" s="87"/>
      <c r="G75" s="100"/>
      <c r="H75" s="87"/>
      <c r="I75" s="97"/>
      <c r="J75" s="97"/>
      <c r="K75" s="87"/>
      <c r="L75" s="87"/>
      <c r="M75" s="87"/>
      <c r="N75" s="87"/>
      <c r="O75" s="87"/>
      <c r="P75" s="273">
        <f>SUM(D75:O75)</f>
        <v>6578</v>
      </c>
      <c r="Q75"/>
    </row>
    <row r="76" spans="1:17" ht="8.4" customHeight="1" x14ac:dyDescent="0.25">
      <c r="B76" s="89"/>
      <c r="C76" s="86" t="s">
        <v>197</v>
      </c>
      <c r="D76" s="99">
        <v>13</v>
      </c>
      <c r="E76" s="99"/>
      <c r="F76" s="99"/>
      <c r="G76" s="99"/>
      <c r="H76" s="99"/>
      <c r="I76" s="99"/>
      <c r="J76" s="99"/>
      <c r="K76" s="99"/>
      <c r="L76" s="99"/>
      <c r="M76" s="99"/>
      <c r="N76" s="90"/>
      <c r="O76" s="90"/>
      <c r="P76" s="273">
        <f>SUM(D76:O76)</f>
        <v>13</v>
      </c>
      <c r="Q76"/>
    </row>
    <row r="77" spans="1:17" s="16" customFormat="1" ht="13.2" hidden="1" x14ac:dyDescent="0.25"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Q77" s="112"/>
    </row>
    <row r="78" spans="1:17" ht="15" hidden="1" thickBot="1" x14ac:dyDescent="0.3">
      <c r="B78" s="18" t="s">
        <v>190</v>
      </c>
      <c r="C78" s="18"/>
    </row>
    <row r="79" spans="1:17" ht="12.75" hidden="1" customHeight="1" thickBot="1" x14ac:dyDescent="0.3">
      <c r="B79" s="427" t="s">
        <v>1</v>
      </c>
      <c r="C79" s="428"/>
      <c r="D79" s="21">
        <v>1</v>
      </c>
      <c r="E79" s="22">
        <v>2</v>
      </c>
      <c r="F79" s="22">
        <v>3</v>
      </c>
      <c r="G79" s="22">
        <v>4</v>
      </c>
      <c r="H79" s="22">
        <v>5</v>
      </c>
      <c r="I79" s="22">
        <v>6</v>
      </c>
      <c r="J79" s="22">
        <v>7</v>
      </c>
      <c r="K79" s="22">
        <v>8</v>
      </c>
      <c r="L79" s="22" t="s">
        <v>77</v>
      </c>
      <c r="M79" s="22">
        <v>10</v>
      </c>
      <c r="N79" s="22">
        <v>11</v>
      </c>
      <c r="O79" s="22">
        <v>12</v>
      </c>
      <c r="P79" s="23" t="s">
        <v>0</v>
      </c>
    </row>
    <row r="80" spans="1:17" ht="12.75" hidden="1" customHeight="1" x14ac:dyDescent="0.25">
      <c r="B80" s="429" t="s">
        <v>45</v>
      </c>
      <c r="C80" s="175" t="s">
        <v>22</v>
      </c>
      <c r="D80" s="75">
        <v>21</v>
      </c>
      <c r="E80" s="76">
        <v>26</v>
      </c>
      <c r="F80" s="75">
        <v>30</v>
      </c>
      <c r="G80" s="76">
        <v>22</v>
      </c>
      <c r="H80" s="76">
        <v>34</v>
      </c>
      <c r="I80" s="76">
        <v>29</v>
      </c>
      <c r="J80" s="76">
        <v>17</v>
      </c>
      <c r="K80" s="76">
        <v>4</v>
      </c>
      <c r="L80" s="78">
        <v>0</v>
      </c>
      <c r="M80" s="76">
        <v>0</v>
      </c>
      <c r="N80" s="76">
        <v>0</v>
      </c>
      <c r="O80" s="76">
        <v>0</v>
      </c>
      <c r="P80" s="77">
        <f t="shared" ref="P80:P88" si="20">SUM(D80:O80)</f>
        <v>183</v>
      </c>
      <c r="Q80"/>
    </row>
    <row r="81" spans="1:17" ht="12.75" hidden="1" customHeight="1" x14ac:dyDescent="0.25">
      <c r="B81" s="430"/>
      <c r="C81" s="175" t="s">
        <v>24</v>
      </c>
      <c r="D81" s="75">
        <v>5437</v>
      </c>
      <c r="E81" s="75">
        <v>3697</v>
      </c>
      <c r="F81" s="75">
        <v>3892</v>
      </c>
      <c r="G81" s="75">
        <v>6382</v>
      </c>
      <c r="H81" s="75">
        <v>4918</v>
      </c>
      <c r="I81" s="75">
        <v>3310</v>
      </c>
      <c r="J81" s="75">
        <v>4697</v>
      </c>
      <c r="K81" s="75">
        <v>2406</v>
      </c>
      <c r="L81" s="75">
        <v>4454</v>
      </c>
      <c r="M81" s="75">
        <v>5615</v>
      </c>
      <c r="N81" s="75">
        <v>5700</v>
      </c>
      <c r="O81" s="75">
        <v>8235</v>
      </c>
      <c r="P81" s="77">
        <f t="shared" si="20"/>
        <v>58743</v>
      </c>
      <c r="Q81"/>
    </row>
    <row r="82" spans="1:17" ht="12.75" hidden="1" customHeight="1" x14ac:dyDescent="0.25">
      <c r="B82" s="430"/>
      <c r="C82" s="175" t="s">
        <v>68</v>
      </c>
      <c r="D82" s="75">
        <v>0</v>
      </c>
      <c r="E82" s="75">
        <v>0</v>
      </c>
      <c r="F82" s="75">
        <v>0</v>
      </c>
      <c r="G82" s="75">
        <v>0</v>
      </c>
      <c r="H82" s="75">
        <v>0</v>
      </c>
      <c r="I82" s="75">
        <v>0</v>
      </c>
      <c r="J82" s="75">
        <v>0</v>
      </c>
      <c r="K82" s="75">
        <v>0</v>
      </c>
      <c r="L82" s="75">
        <v>0</v>
      </c>
      <c r="M82" s="75">
        <v>0</v>
      </c>
      <c r="N82" s="75">
        <v>0</v>
      </c>
      <c r="O82" s="75">
        <v>0</v>
      </c>
      <c r="P82" s="77">
        <f t="shared" si="20"/>
        <v>0</v>
      </c>
      <c r="Q82"/>
    </row>
    <row r="83" spans="1:17" ht="12.75" hidden="1" customHeight="1" x14ac:dyDescent="0.25">
      <c r="B83" s="430"/>
      <c r="C83" s="175" t="s">
        <v>3</v>
      </c>
      <c r="D83" s="75">
        <v>0</v>
      </c>
      <c r="E83" s="75">
        <v>0</v>
      </c>
      <c r="F83" s="75">
        <v>0</v>
      </c>
      <c r="G83" s="75">
        <v>0</v>
      </c>
      <c r="H83" s="75">
        <v>0</v>
      </c>
      <c r="I83" s="75">
        <v>0</v>
      </c>
      <c r="J83" s="75">
        <v>0</v>
      </c>
      <c r="K83" s="75">
        <v>0</v>
      </c>
      <c r="L83" s="75">
        <v>0</v>
      </c>
      <c r="M83" s="75">
        <v>0</v>
      </c>
      <c r="N83" s="75">
        <v>0</v>
      </c>
      <c r="O83" s="75">
        <v>0</v>
      </c>
      <c r="P83" s="77">
        <f t="shared" si="20"/>
        <v>0</v>
      </c>
      <c r="Q83"/>
    </row>
    <row r="84" spans="1:17" ht="12.75" hidden="1" customHeight="1" x14ac:dyDescent="0.25">
      <c r="B84" s="430"/>
      <c r="C84" s="177" t="s">
        <v>25</v>
      </c>
      <c r="D84" s="73">
        <v>2036</v>
      </c>
      <c r="E84" s="73">
        <v>4176</v>
      </c>
      <c r="F84" s="73">
        <v>4317</v>
      </c>
      <c r="G84" s="73">
        <v>4165</v>
      </c>
      <c r="H84" s="73">
        <v>3990</v>
      </c>
      <c r="I84" s="73">
        <v>4717</v>
      </c>
      <c r="J84" s="73">
        <v>4412</v>
      </c>
      <c r="K84" s="73">
        <v>4332</v>
      </c>
      <c r="L84" s="73">
        <v>4585</v>
      </c>
      <c r="M84" s="73">
        <v>3323</v>
      </c>
      <c r="N84" s="73">
        <v>3739</v>
      </c>
      <c r="O84" s="73">
        <v>4516</v>
      </c>
      <c r="P84" s="77">
        <f t="shared" si="20"/>
        <v>48308</v>
      </c>
      <c r="Q84"/>
    </row>
    <row r="85" spans="1:17" ht="12.75" hidden="1" customHeight="1" x14ac:dyDescent="0.25">
      <c r="B85" s="430"/>
      <c r="C85" s="175" t="s">
        <v>219</v>
      </c>
      <c r="D85" s="75">
        <v>0</v>
      </c>
      <c r="E85" s="75">
        <v>0</v>
      </c>
      <c r="F85" s="75">
        <v>0</v>
      </c>
      <c r="G85" s="75">
        <v>0</v>
      </c>
      <c r="H85" s="75">
        <v>0</v>
      </c>
      <c r="I85" s="75">
        <v>0</v>
      </c>
      <c r="J85" s="75">
        <v>0</v>
      </c>
      <c r="K85" s="75">
        <v>8</v>
      </c>
      <c r="L85" s="75">
        <v>2652</v>
      </c>
      <c r="M85" s="75">
        <v>3667</v>
      </c>
      <c r="N85" s="75">
        <v>3905</v>
      </c>
      <c r="O85" s="75">
        <v>1057</v>
      </c>
      <c r="P85" s="77">
        <f t="shared" ref="P85" si="21">SUM(D85:O85)</f>
        <v>11289</v>
      </c>
      <c r="Q85"/>
    </row>
    <row r="86" spans="1:17" ht="12.75" hidden="1" customHeight="1" x14ac:dyDescent="0.25">
      <c r="B86" s="430"/>
      <c r="C86" s="178" t="s">
        <v>27</v>
      </c>
      <c r="D86" s="71">
        <v>1806</v>
      </c>
      <c r="E86" s="71">
        <v>4490</v>
      </c>
      <c r="F86" s="71">
        <v>6663</v>
      </c>
      <c r="G86" s="71">
        <v>5192</v>
      </c>
      <c r="H86" s="71">
        <v>7602</v>
      </c>
      <c r="I86" s="71">
        <v>7919</v>
      </c>
      <c r="J86" s="71">
        <v>6777</v>
      </c>
      <c r="K86" s="71">
        <v>4606</v>
      </c>
      <c r="L86" s="71">
        <v>4643</v>
      </c>
      <c r="M86" s="71">
        <v>4661</v>
      </c>
      <c r="N86" s="71">
        <v>3754</v>
      </c>
      <c r="O86" s="71">
        <v>8917</v>
      </c>
      <c r="P86" s="77">
        <f t="shared" si="20"/>
        <v>67030</v>
      </c>
      <c r="Q86"/>
    </row>
    <row r="87" spans="1:17" ht="12.75" hidden="1" customHeight="1" thickBot="1" x14ac:dyDescent="0.3">
      <c r="B87" s="431"/>
      <c r="C87" s="180" t="s">
        <v>0</v>
      </c>
      <c r="D87" s="43">
        <f t="shared" ref="D87:O87" si="22">SUM(D80:D86)</f>
        <v>9300</v>
      </c>
      <c r="E87" s="43">
        <f t="shared" si="22"/>
        <v>12389</v>
      </c>
      <c r="F87" s="43">
        <f t="shared" si="22"/>
        <v>14902</v>
      </c>
      <c r="G87" s="43">
        <f t="shared" si="22"/>
        <v>15761</v>
      </c>
      <c r="H87" s="43">
        <f t="shared" si="22"/>
        <v>16544</v>
      </c>
      <c r="I87" s="43">
        <f t="shared" si="22"/>
        <v>15975</v>
      </c>
      <c r="J87" s="43">
        <f t="shared" si="22"/>
        <v>15903</v>
      </c>
      <c r="K87" s="43">
        <f t="shared" si="22"/>
        <v>11356</v>
      </c>
      <c r="L87" s="43">
        <f t="shared" si="22"/>
        <v>16334</v>
      </c>
      <c r="M87" s="43">
        <f t="shared" si="22"/>
        <v>17266</v>
      </c>
      <c r="N87" s="43">
        <f>SUM(N80:N86)</f>
        <v>17098</v>
      </c>
      <c r="O87" s="43">
        <f t="shared" si="22"/>
        <v>22725</v>
      </c>
      <c r="P87" s="44">
        <f t="shared" si="20"/>
        <v>185553</v>
      </c>
      <c r="Q87"/>
    </row>
    <row r="88" spans="1:17" ht="12.75" hidden="1" customHeight="1" x14ac:dyDescent="0.25">
      <c r="B88" s="432" t="s">
        <v>44</v>
      </c>
      <c r="C88" s="174" t="s">
        <v>183</v>
      </c>
      <c r="D88" s="39">
        <v>3948</v>
      </c>
      <c r="E88" s="40">
        <v>3304</v>
      </c>
      <c r="F88" s="40">
        <v>3725</v>
      </c>
      <c r="G88" s="40">
        <v>3420</v>
      </c>
      <c r="H88" s="40">
        <v>4402</v>
      </c>
      <c r="I88" s="40">
        <v>4401</v>
      </c>
      <c r="J88" s="40">
        <v>4478</v>
      </c>
      <c r="K88" s="40">
        <v>3302</v>
      </c>
      <c r="L88" s="40">
        <v>4032</v>
      </c>
      <c r="M88" s="40">
        <v>3908</v>
      </c>
      <c r="N88" s="40">
        <v>5573</v>
      </c>
      <c r="O88" s="40">
        <v>3509</v>
      </c>
      <c r="P88" s="31">
        <f t="shared" si="20"/>
        <v>48002</v>
      </c>
      <c r="Q88"/>
    </row>
    <row r="89" spans="1:17" ht="12.75" hidden="1" customHeight="1" x14ac:dyDescent="0.25">
      <c r="B89" s="433"/>
      <c r="C89" s="176" t="s">
        <v>137</v>
      </c>
      <c r="D89" s="29">
        <v>925</v>
      </c>
      <c r="E89" s="30">
        <v>615</v>
      </c>
      <c r="F89" s="30">
        <v>673</v>
      </c>
      <c r="G89" s="30">
        <v>790</v>
      </c>
      <c r="H89" s="30">
        <v>776</v>
      </c>
      <c r="I89" s="30">
        <v>896</v>
      </c>
      <c r="J89" s="30">
        <v>548</v>
      </c>
      <c r="K89" s="30">
        <v>376</v>
      </c>
      <c r="L89" s="30">
        <v>673</v>
      </c>
      <c r="M89" s="30">
        <v>702</v>
      </c>
      <c r="N89" s="30">
        <v>432</v>
      </c>
      <c r="O89" s="30">
        <v>1019</v>
      </c>
      <c r="P89" s="31">
        <f t="shared" ref="P89:P95" si="23">SUM(D89:O89)</f>
        <v>8425</v>
      </c>
      <c r="Q89"/>
    </row>
    <row r="90" spans="1:17" ht="12.75" hidden="1" customHeight="1" x14ac:dyDescent="0.25">
      <c r="B90" s="433"/>
      <c r="C90" s="181" t="s">
        <v>113</v>
      </c>
      <c r="D90" s="25">
        <v>479</v>
      </c>
      <c r="E90" s="26">
        <v>923</v>
      </c>
      <c r="F90" s="26">
        <v>759</v>
      </c>
      <c r="G90" s="26">
        <v>773</v>
      </c>
      <c r="H90" s="26">
        <v>759</v>
      </c>
      <c r="I90" s="26">
        <v>758</v>
      </c>
      <c r="J90" s="26">
        <v>648</v>
      </c>
      <c r="K90" s="26">
        <v>743</v>
      </c>
      <c r="L90" s="26">
        <v>632</v>
      </c>
      <c r="M90" s="26">
        <v>493</v>
      </c>
      <c r="N90" s="26">
        <v>693</v>
      </c>
      <c r="O90" s="26">
        <v>728</v>
      </c>
      <c r="P90" s="31">
        <f t="shared" si="23"/>
        <v>8388</v>
      </c>
      <c r="Q90"/>
    </row>
    <row r="91" spans="1:17" ht="12.75" hidden="1" customHeight="1" x14ac:dyDescent="0.25">
      <c r="A91"/>
      <c r="B91" s="433"/>
      <c r="C91" s="181" t="s">
        <v>59</v>
      </c>
      <c r="D91" s="25">
        <v>3619</v>
      </c>
      <c r="E91" s="26">
        <v>2684</v>
      </c>
      <c r="F91" s="26">
        <v>2740</v>
      </c>
      <c r="G91" s="26">
        <v>4175</v>
      </c>
      <c r="H91" s="26">
        <v>3722</v>
      </c>
      <c r="I91" s="26">
        <v>2864</v>
      </c>
      <c r="J91" s="26">
        <v>1548</v>
      </c>
      <c r="K91" s="26">
        <v>1962</v>
      </c>
      <c r="L91" s="26">
        <v>2452</v>
      </c>
      <c r="M91" s="26">
        <v>1729</v>
      </c>
      <c r="N91" s="26">
        <v>2312</v>
      </c>
      <c r="O91" s="26">
        <v>3083</v>
      </c>
      <c r="P91" s="31">
        <f t="shared" si="23"/>
        <v>32890</v>
      </c>
      <c r="Q91"/>
    </row>
    <row r="92" spans="1:17" ht="12.75" hidden="1" customHeight="1" x14ac:dyDescent="0.25">
      <c r="A92"/>
      <c r="B92" s="433"/>
      <c r="C92" s="181" t="s">
        <v>170</v>
      </c>
      <c r="D92" s="25">
        <v>376</v>
      </c>
      <c r="E92" s="26">
        <v>3995</v>
      </c>
      <c r="F92" s="26">
        <v>3208</v>
      </c>
      <c r="G92" s="26">
        <v>2963</v>
      </c>
      <c r="H92" s="26">
        <v>3054</v>
      </c>
      <c r="I92" s="26">
        <v>1507</v>
      </c>
      <c r="J92" s="26">
        <v>3102</v>
      </c>
      <c r="K92" s="26">
        <v>1998</v>
      </c>
      <c r="L92" s="26">
        <v>2396</v>
      </c>
      <c r="M92" s="26">
        <v>2169</v>
      </c>
      <c r="N92" s="26">
        <v>1920</v>
      </c>
      <c r="O92" s="26">
        <v>711</v>
      </c>
      <c r="P92" s="31">
        <f t="shared" si="23"/>
        <v>27399</v>
      </c>
      <c r="Q92"/>
    </row>
    <row r="93" spans="1:17" ht="12.75" hidden="1" customHeight="1" x14ac:dyDescent="0.25">
      <c r="A93"/>
      <c r="B93" s="433"/>
      <c r="C93" s="181" t="s">
        <v>124</v>
      </c>
      <c r="D93" s="25">
        <v>319</v>
      </c>
      <c r="E93" s="26">
        <v>650</v>
      </c>
      <c r="F93" s="26">
        <v>445</v>
      </c>
      <c r="G93" s="26">
        <v>1294</v>
      </c>
      <c r="H93" s="26">
        <v>1270</v>
      </c>
      <c r="I93" s="26">
        <v>907</v>
      </c>
      <c r="J93" s="26">
        <v>573</v>
      </c>
      <c r="K93" s="26">
        <v>980</v>
      </c>
      <c r="L93" s="26">
        <v>1083</v>
      </c>
      <c r="M93" s="26">
        <v>1101</v>
      </c>
      <c r="N93" s="26">
        <v>1096</v>
      </c>
      <c r="O93" s="26">
        <v>446</v>
      </c>
      <c r="P93" s="31">
        <f t="shared" si="23"/>
        <v>10164</v>
      </c>
      <c r="Q93"/>
    </row>
    <row r="94" spans="1:17" ht="12.75" hidden="1" customHeight="1" x14ac:dyDescent="0.25">
      <c r="A94"/>
      <c r="B94" s="433"/>
      <c r="C94" s="176" t="s">
        <v>8</v>
      </c>
      <c r="D94" s="29">
        <v>2159</v>
      </c>
      <c r="E94" s="30">
        <v>1680</v>
      </c>
      <c r="F94" s="30">
        <v>1860</v>
      </c>
      <c r="G94" s="30">
        <v>1997</v>
      </c>
      <c r="H94" s="30">
        <v>2477</v>
      </c>
      <c r="I94" s="30">
        <v>2913</v>
      </c>
      <c r="J94" s="30">
        <v>1361</v>
      </c>
      <c r="K94" s="30">
        <v>2534</v>
      </c>
      <c r="L94" s="30">
        <v>2327</v>
      </c>
      <c r="M94" s="30">
        <v>2722</v>
      </c>
      <c r="N94" s="30">
        <v>2864</v>
      </c>
      <c r="O94" s="30">
        <v>3811</v>
      </c>
      <c r="P94" s="31">
        <f t="shared" si="23"/>
        <v>28705</v>
      </c>
      <c r="Q94"/>
    </row>
    <row r="95" spans="1:17" ht="12.75" hidden="1" customHeight="1" x14ac:dyDescent="0.25">
      <c r="A95"/>
      <c r="B95" s="433"/>
      <c r="C95" s="176" t="s">
        <v>133</v>
      </c>
      <c r="D95" s="29">
        <v>4302</v>
      </c>
      <c r="E95" s="30">
        <v>3900</v>
      </c>
      <c r="F95" s="30">
        <v>4501</v>
      </c>
      <c r="G95" s="30">
        <v>4461</v>
      </c>
      <c r="H95" s="30">
        <v>4110</v>
      </c>
      <c r="I95" s="30">
        <v>5760</v>
      </c>
      <c r="J95" s="30">
        <v>3113</v>
      </c>
      <c r="K95" s="30">
        <v>3269</v>
      </c>
      <c r="L95" s="30">
        <v>3464</v>
      </c>
      <c r="M95" s="30">
        <v>4147</v>
      </c>
      <c r="N95" s="30">
        <v>4366</v>
      </c>
      <c r="O95" s="30">
        <v>4344</v>
      </c>
      <c r="P95" s="31">
        <f t="shared" si="23"/>
        <v>49737</v>
      </c>
      <c r="Q95"/>
    </row>
    <row r="96" spans="1:17" ht="12.75" hidden="1" customHeight="1" thickBot="1" x14ac:dyDescent="0.3">
      <c r="A96"/>
      <c r="B96" s="434"/>
      <c r="C96" s="182" t="s">
        <v>0</v>
      </c>
      <c r="D96" s="36">
        <f>SUM(D88:D95)</f>
        <v>16127</v>
      </c>
      <c r="E96" s="36">
        <f t="shared" ref="E96:O96" si="24">SUM(E88:E95)</f>
        <v>17751</v>
      </c>
      <c r="F96" s="36">
        <f t="shared" si="24"/>
        <v>17911</v>
      </c>
      <c r="G96" s="36">
        <f t="shared" si="24"/>
        <v>19873</v>
      </c>
      <c r="H96" s="36">
        <f t="shared" si="24"/>
        <v>20570</v>
      </c>
      <c r="I96" s="36">
        <f t="shared" si="24"/>
        <v>20006</v>
      </c>
      <c r="J96" s="36">
        <f t="shared" si="24"/>
        <v>15371</v>
      </c>
      <c r="K96" s="36">
        <f>SUM(K88:K95)</f>
        <v>15164</v>
      </c>
      <c r="L96" s="36">
        <f t="shared" si="24"/>
        <v>17059</v>
      </c>
      <c r="M96" s="36">
        <f t="shared" si="24"/>
        <v>16971</v>
      </c>
      <c r="N96" s="36">
        <f>SUM(N88:N95)</f>
        <v>19256</v>
      </c>
      <c r="O96" s="36">
        <f t="shared" si="24"/>
        <v>17651</v>
      </c>
      <c r="P96" s="37">
        <f t="shared" ref="P96:P110" si="25">SUM(D96:O96)</f>
        <v>213710</v>
      </c>
      <c r="Q96"/>
    </row>
    <row r="97" spans="1:17" ht="12.6" hidden="1" customHeight="1" x14ac:dyDescent="0.25">
      <c r="A97"/>
      <c r="B97" s="429" t="s">
        <v>9</v>
      </c>
      <c r="C97" s="174" t="s">
        <v>11</v>
      </c>
      <c r="D97" s="39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1">
        <f t="shared" si="25"/>
        <v>0</v>
      </c>
      <c r="Q97"/>
    </row>
    <row r="98" spans="1:17" ht="12.6" hidden="1" customHeight="1" x14ac:dyDescent="0.25">
      <c r="A98"/>
      <c r="B98" s="430"/>
      <c r="C98" s="181" t="s">
        <v>171</v>
      </c>
      <c r="D98" s="25">
        <v>2810</v>
      </c>
      <c r="E98" s="26">
        <v>2057</v>
      </c>
      <c r="F98" s="26">
        <v>2096</v>
      </c>
      <c r="G98" s="26">
        <v>2387</v>
      </c>
      <c r="H98" s="26">
        <v>2914</v>
      </c>
      <c r="I98" s="26">
        <v>2451</v>
      </c>
      <c r="J98" s="26">
        <v>2998</v>
      </c>
      <c r="K98" s="26">
        <v>2957</v>
      </c>
      <c r="L98" s="26">
        <v>2814</v>
      </c>
      <c r="M98" s="26">
        <v>3461</v>
      </c>
      <c r="N98" s="26">
        <v>3325</v>
      </c>
      <c r="O98" s="26">
        <v>3189</v>
      </c>
      <c r="P98" s="27">
        <f t="shared" si="25"/>
        <v>33459</v>
      </c>
      <c r="Q98"/>
    </row>
    <row r="99" spans="1:17" ht="12.75" hidden="1" customHeight="1" x14ac:dyDescent="0.25">
      <c r="A99"/>
      <c r="B99" s="430"/>
      <c r="C99" s="181" t="s">
        <v>12</v>
      </c>
      <c r="D99" s="25">
        <v>5443</v>
      </c>
      <c r="E99" s="26">
        <v>7995</v>
      </c>
      <c r="F99" s="26">
        <v>4708</v>
      </c>
      <c r="G99" s="26">
        <v>8423</v>
      </c>
      <c r="H99" s="26">
        <v>8299</v>
      </c>
      <c r="I99" s="26">
        <v>6980</v>
      </c>
      <c r="J99" s="26">
        <v>8986</v>
      </c>
      <c r="K99" s="26">
        <v>7792</v>
      </c>
      <c r="L99" s="26">
        <v>8503</v>
      </c>
      <c r="M99" s="26">
        <v>9020</v>
      </c>
      <c r="N99" s="26">
        <v>7020</v>
      </c>
      <c r="O99" s="26">
        <v>9242</v>
      </c>
      <c r="P99" s="27">
        <f t="shared" si="25"/>
        <v>92411</v>
      </c>
      <c r="Q99"/>
    </row>
    <row r="100" spans="1:17" ht="12.75" hidden="1" customHeight="1" thickBot="1" x14ac:dyDescent="0.3">
      <c r="A100"/>
      <c r="B100" s="431"/>
      <c r="C100" s="180" t="s">
        <v>0</v>
      </c>
      <c r="D100" s="43">
        <f>SUM(D97:D99)</f>
        <v>8253</v>
      </c>
      <c r="E100" s="43">
        <f t="shared" ref="E100:O100" si="26">SUM(E97:E99)</f>
        <v>10052</v>
      </c>
      <c r="F100" s="43">
        <f t="shared" si="26"/>
        <v>6804</v>
      </c>
      <c r="G100" s="43">
        <f t="shared" si="26"/>
        <v>10810</v>
      </c>
      <c r="H100" s="43">
        <f t="shared" si="26"/>
        <v>11213</v>
      </c>
      <c r="I100" s="43">
        <f t="shared" si="26"/>
        <v>9431</v>
      </c>
      <c r="J100" s="43">
        <f t="shared" si="26"/>
        <v>11984</v>
      </c>
      <c r="K100" s="43">
        <f t="shared" si="26"/>
        <v>10749</v>
      </c>
      <c r="L100" s="43">
        <f t="shared" si="26"/>
        <v>11317</v>
      </c>
      <c r="M100" s="43">
        <f t="shared" si="26"/>
        <v>12481</v>
      </c>
      <c r="N100" s="43">
        <f>SUM(N97:N99)</f>
        <v>10345</v>
      </c>
      <c r="O100" s="43">
        <f t="shared" si="26"/>
        <v>12431</v>
      </c>
      <c r="P100" s="44">
        <f t="shared" si="25"/>
        <v>125870</v>
      </c>
      <c r="Q100"/>
    </row>
    <row r="101" spans="1:17" ht="12.75" hidden="1" customHeight="1" x14ac:dyDescent="0.25">
      <c r="A101"/>
      <c r="B101" s="429" t="s">
        <v>10</v>
      </c>
      <c r="C101" s="174" t="s">
        <v>13</v>
      </c>
      <c r="D101" s="39">
        <v>388</v>
      </c>
      <c r="E101" s="40">
        <v>458</v>
      </c>
      <c r="F101" s="40">
        <v>529</v>
      </c>
      <c r="G101" s="40">
        <v>473</v>
      </c>
      <c r="H101" s="40">
        <v>529</v>
      </c>
      <c r="I101" s="40">
        <v>560</v>
      </c>
      <c r="J101" s="40">
        <v>503</v>
      </c>
      <c r="K101" s="40">
        <v>400</v>
      </c>
      <c r="L101" s="40">
        <v>491</v>
      </c>
      <c r="M101" s="40">
        <v>521</v>
      </c>
      <c r="N101" s="40">
        <v>630</v>
      </c>
      <c r="O101" s="40">
        <v>682</v>
      </c>
      <c r="P101" s="41">
        <f t="shared" si="25"/>
        <v>6164</v>
      </c>
      <c r="Q101"/>
    </row>
    <row r="102" spans="1:17" ht="12.75" hidden="1" customHeight="1" x14ac:dyDescent="0.25">
      <c r="A102"/>
      <c r="B102" s="430"/>
      <c r="C102" s="181" t="s">
        <v>14</v>
      </c>
      <c r="D102" s="25">
        <v>1557</v>
      </c>
      <c r="E102" s="26">
        <v>1344</v>
      </c>
      <c r="F102" s="26">
        <v>1906</v>
      </c>
      <c r="G102" s="26">
        <v>1208</v>
      </c>
      <c r="H102" s="26">
        <v>2283</v>
      </c>
      <c r="I102" s="26">
        <v>2330</v>
      </c>
      <c r="J102" s="26">
        <v>2032</v>
      </c>
      <c r="K102" s="26">
        <v>1938</v>
      </c>
      <c r="L102" s="26">
        <v>2063</v>
      </c>
      <c r="M102" s="26">
        <v>2206</v>
      </c>
      <c r="N102" s="26">
        <v>1982</v>
      </c>
      <c r="O102" s="26">
        <v>1693</v>
      </c>
      <c r="P102" s="27">
        <f t="shared" si="25"/>
        <v>22542</v>
      </c>
      <c r="Q102"/>
    </row>
    <row r="103" spans="1:17" ht="12.75" hidden="1" customHeight="1" thickBot="1" x14ac:dyDescent="0.3">
      <c r="A103"/>
      <c r="B103" s="431"/>
      <c r="C103" s="180" t="s">
        <v>0</v>
      </c>
      <c r="D103" s="43">
        <f>SUM(D101:D102)</f>
        <v>1945</v>
      </c>
      <c r="E103" s="43">
        <f t="shared" ref="E103:O103" si="27">SUM(E101:E102)</f>
        <v>1802</v>
      </c>
      <c r="F103" s="43">
        <f t="shared" si="27"/>
        <v>2435</v>
      </c>
      <c r="G103" s="43">
        <f t="shared" si="27"/>
        <v>1681</v>
      </c>
      <c r="H103" s="43">
        <f t="shared" si="27"/>
        <v>2812</v>
      </c>
      <c r="I103" s="43">
        <f t="shared" si="27"/>
        <v>2890</v>
      </c>
      <c r="J103" s="43">
        <f t="shared" si="27"/>
        <v>2535</v>
      </c>
      <c r="K103" s="43">
        <f t="shared" si="27"/>
        <v>2338</v>
      </c>
      <c r="L103" s="43">
        <f t="shared" si="27"/>
        <v>2554</v>
      </c>
      <c r="M103" s="43">
        <f t="shared" si="27"/>
        <v>2727</v>
      </c>
      <c r="N103" s="43">
        <f>SUM(N101:N102)</f>
        <v>2612</v>
      </c>
      <c r="O103" s="43">
        <f t="shared" si="27"/>
        <v>2375</v>
      </c>
      <c r="P103" s="44">
        <f t="shared" si="25"/>
        <v>28706</v>
      </c>
      <c r="Q103"/>
    </row>
    <row r="104" spans="1:17" ht="12.75" hidden="1" customHeight="1" x14ac:dyDescent="0.25">
      <c r="A104"/>
      <c r="B104" s="424" t="s">
        <v>4</v>
      </c>
      <c r="C104" s="183" t="s">
        <v>115</v>
      </c>
      <c r="D104" s="155">
        <v>533</v>
      </c>
      <c r="E104" s="155">
        <v>565</v>
      </c>
      <c r="F104" s="155">
        <v>416</v>
      </c>
      <c r="G104" s="155">
        <v>489</v>
      </c>
      <c r="H104" s="155">
        <v>357</v>
      </c>
      <c r="I104" s="155">
        <v>488</v>
      </c>
      <c r="J104" s="155">
        <v>574</v>
      </c>
      <c r="K104" s="155">
        <v>358</v>
      </c>
      <c r="L104" s="155">
        <v>359</v>
      </c>
      <c r="M104" s="155">
        <v>540</v>
      </c>
      <c r="N104" s="155">
        <v>576</v>
      </c>
      <c r="O104" s="155">
        <v>832</v>
      </c>
      <c r="P104" s="156">
        <f t="shared" si="25"/>
        <v>6087</v>
      </c>
      <c r="Q104"/>
    </row>
    <row r="105" spans="1:17" ht="12.75" hidden="1" customHeight="1" x14ac:dyDescent="0.25">
      <c r="A105"/>
      <c r="B105" s="425"/>
      <c r="C105" s="184" t="s">
        <v>117</v>
      </c>
      <c r="D105" s="131">
        <v>5501</v>
      </c>
      <c r="E105" s="131">
        <v>4655</v>
      </c>
      <c r="F105" s="131">
        <v>3967</v>
      </c>
      <c r="G105" s="131">
        <v>4023</v>
      </c>
      <c r="H105" s="131">
        <v>4330</v>
      </c>
      <c r="I105" s="131">
        <v>3630</v>
      </c>
      <c r="J105" s="131">
        <v>2966</v>
      </c>
      <c r="K105" s="131">
        <v>3080</v>
      </c>
      <c r="L105" s="131">
        <v>2863</v>
      </c>
      <c r="M105" s="131">
        <v>3082</v>
      </c>
      <c r="N105" s="131">
        <v>4224</v>
      </c>
      <c r="O105" s="131">
        <v>4833</v>
      </c>
      <c r="P105" s="132">
        <f t="shared" si="25"/>
        <v>47154</v>
      </c>
      <c r="Q105"/>
    </row>
    <row r="106" spans="1:17" ht="12.75" hidden="1" customHeight="1" x14ac:dyDescent="0.25">
      <c r="A106"/>
      <c r="B106" s="425"/>
      <c r="C106" s="176" t="s">
        <v>131</v>
      </c>
      <c r="D106" s="29">
        <v>78</v>
      </c>
      <c r="E106" s="30">
        <v>1073</v>
      </c>
      <c r="F106" s="30">
        <v>1897</v>
      </c>
      <c r="G106" s="30">
        <v>2129</v>
      </c>
      <c r="H106" s="30">
        <v>2329</v>
      </c>
      <c r="I106" s="30">
        <v>2456</v>
      </c>
      <c r="J106" s="30">
        <v>2274</v>
      </c>
      <c r="K106" s="30">
        <v>2422</v>
      </c>
      <c r="L106" s="30">
        <v>2217</v>
      </c>
      <c r="M106" s="30">
        <v>2818</v>
      </c>
      <c r="N106" s="30">
        <v>1364</v>
      </c>
      <c r="O106" s="30">
        <v>2172</v>
      </c>
      <c r="P106" s="31">
        <f t="shared" si="25"/>
        <v>23229</v>
      </c>
      <c r="Q106"/>
    </row>
    <row r="107" spans="1:17" ht="12.75" hidden="1" customHeight="1" x14ac:dyDescent="0.25">
      <c r="A107"/>
      <c r="B107" s="425"/>
      <c r="C107" s="176" t="s">
        <v>186</v>
      </c>
      <c r="D107" s="29">
        <v>177</v>
      </c>
      <c r="E107" s="30">
        <v>349</v>
      </c>
      <c r="F107" s="30">
        <v>685</v>
      </c>
      <c r="G107" s="30">
        <v>796</v>
      </c>
      <c r="H107" s="30">
        <v>724</v>
      </c>
      <c r="I107" s="30">
        <v>670</v>
      </c>
      <c r="J107" s="30">
        <v>536</v>
      </c>
      <c r="K107" s="30">
        <v>260</v>
      </c>
      <c r="L107" s="30">
        <v>332</v>
      </c>
      <c r="M107" s="30">
        <v>493</v>
      </c>
      <c r="N107" s="30">
        <v>405</v>
      </c>
      <c r="O107" s="30">
        <v>212</v>
      </c>
      <c r="P107" s="31">
        <f t="shared" si="25"/>
        <v>5639</v>
      </c>
      <c r="Q107"/>
    </row>
    <row r="108" spans="1:17" ht="12.75" hidden="1" customHeight="1" x14ac:dyDescent="0.25">
      <c r="A108"/>
      <c r="B108" s="425"/>
      <c r="C108" s="176" t="s">
        <v>161</v>
      </c>
      <c r="D108" s="29">
        <v>2415</v>
      </c>
      <c r="E108" s="30">
        <v>2592</v>
      </c>
      <c r="F108" s="30">
        <v>1907</v>
      </c>
      <c r="G108" s="30">
        <v>2100</v>
      </c>
      <c r="H108" s="30">
        <v>2859</v>
      </c>
      <c r="I108" s="30">
        <v>2219</v>
      </c>
      <c r="J108" s="30">
        <v>2231</v>
      </c>
      <c r="K108" s="30">
        <v>2004</v>
      </c>
      <c r="L108" s="30">
        <v>2348</v>
      </c>
      <c r="M108" s="30">
        <v>2413</v>
      </c>
      <c r="N108" s="30">
        <v>2832</v>
      </c>
      <c r="O108" s="30">
        <v>3577</v>
      </c>
      <c r="P108" s="31">
        <f t="shared" si="25"/>
        <v>29497</v>
      </c>
      <c r="Q108"/>
    </row>
    <row r="109" spans="1:17" ht="12.75" hidden="1" customHeight="1" x14ac:dyDescent="0.25">
      <c r="A109"/>
      <c r="B109" s="425"/>
      <c r="C109" s="176" t="s">
        <v>148</v>
      </c>
      <c r="D109" s="29">
        <v>1876</v>
      </c>
      <c r="E109" s="30">
        <v>1782</v>
      </c>
      <c r="F109" s="30">
        <v>1959</v>
      </c>
      <c r="G109" s="30">
        <v>1753</v>
      </c>
      <c r="H109" s="30">
        <v>1635</v>
      </c>
      <c r="I109" s="30">
        <v>1745</v>
      </c>
      <c r="J109" s="30">
        <v>1931</v>
      </c>
      <c r="K109" s="30">
        <v>1493</v>
      </c>
      <c r="L109" s="30">
        <v>1527</v>
      </c>
      <c r="M109" s="30">
        <v>1945</v>
      </c>
      <c r="N109" s="30">
        <v>2214</v>
      </c>
      <c r="O109" s="30">
        <v>3579</v>
      </c>
      <c r="P109" s="31">
        <f t="shared" si="25"/>
        <v>23439</v>
      </c>
      <c r="Q109"/>
    </row>
    <row r="110" spans="1:17" ht="12.75" hidden="1" customHeight="1" thickBot="1" x14ac:dyDescent="0.3">
      <c r="A110"/>
      <c r="B110" s="426"/>
      <c r="C110" s="42" t="s">
        <v>0</v>
      </c>
      <c r="D110" s="43">
        <f>SUM(D104:D109)</f>
        <v>10580</v>
      </c>
      <c r="E110" s="43">
        <f t="shared" ref="E110:O110" si="28">SUM(E104:E109)</f>
        <v>11016</v>
      </c>
      <c r="F110" s="43">
        <f t="shared" si="28"/>
        <v>10831</v>
      </c>
      <c r="G110" s="43">
        <f t="shared" si="28"/>
        <v>11290</v>
      </c>
      <c r="H110" s="43">
        <f t="shared" si="28"/>
        <v>12234</v>
      </c>
      <c r="I110" s="43">
        <f t="shared" si="28"/>
        <v>11208</v>
      </c>
      <c r="J110" s="43">
        <f t="shared" si="28"/>
        <v>10512</v>
      </c>
      <c r="K110" s="43">
        <f t="shared" si="28"/>
        <v>9617</v>
      </c>
      <c r="L110" s="43">
        <f t="shared" si="28"/>
        <v>9646</v>
      </c>
      <c r="M110" s="43">
        <f t="shared" si="28"/>
        <v>11291</v>
      </c>
      <c r="N110" s="43">
        <f>SUM(N104:N109)</f>
        <v>11615</v>
      </c>
      <c r="O110" s="43">
        <f t="shared" si="28"/>
        <v>15205</v>
      </c>
      <c r="P110" s="293">
        <f t="shared" si="25"/>
        <v>135045</v>
      </c>
      <c r="Q110"/>
    </row>
    <row r="111" spans="1:17" ht="12.75" hidden="1" customHeight="1" thickBot="1" x14ac:dyDescent="0.3">
      <c r="A111"/>
      <c r="B111" s="440" t="s">
        <v>2</v>
      </c>
      <c r="C111" s="441"/>
      <c r="D111" s="45">
        <f>SUM(D87,D96,D100,D103,D110)</f>
        <v>46205</v>
      </c>
      <c r="E111" s="45">
        <f t="shared" ref="E111:P111" si="29">SUM(E87,E96,E100,E103,E110)</f>
        <v>53010</v>
      </c>
      <c r="F111" s="45">
        <f t="shared" si="29"/>
        <v>52883</v>
      </c>
      <c r="G111" s="45">
        <f t="shared" si="29"/>
        <v>59415</v>
      </c>
      <c r="H111" s="45">
        <f t="shared" si="29"/>
        <v>63373</v>
      </c>
      <c r="I111" s="45">
        <f t="shared" si="29"/>
        <v>59510</v>
      </c>
      <c r="J111" s="45">
        <f>SUM(J87,J96,J100,J103,J110)</f>
        <v>56305</v>
      </c>
      <c r="K111" s="45">
        <f>SUM(K87,K96,K100,K103,K110)</f>
        <v>49224</v>
      </c>
      <c r="L111" s="45">
        <f t="shared" si="29"/>
        <v>56910</v>
      </c>
      <c r="M111" s="45">
        <f t="shared" si="29"/>
        <v>60736</v>
      </c>
      <c r="N111" s="45">
        <f t="shared" si="29"/>
        <v>60926</v>
      </c>
      <c r="O111" s="45">
        <f t="shared" si="29"/>
        <v>70387</v>
      </c>
      <c r="P111" s="294">
        <f t="shared" si="29"/>
        <v>688884</v>
      </c>
      <c r="Q111"/>
    </row>
    <row r="112" spans="1:17" ht="4.5" hidden="1" customHeight="1" x14ac:dyDescent="0.25">
      <c r="A112"/>
      <c r="J112" s="115"/>
      <c r="Q112"/>
    </row>
    <row r="113" spans="1:18" ht="9.6" hidden="1" customHeight="1" x14ac:dyDescent="0.25">
      <c r="A113"/>
      <c r="B113" s="81" t="s">
        <v>24</v>
      </c>
      <c r="C113" s="82"/>
      <c r="D113" s="83">
        <f>SUM(D114:D116)</f>
        <v>5437</v>
      </c>
      <c r="E113" s="83">
        <f t="shared" ref="E113:P113" si="30">SUM(E114:E116)</f>
        <v>3697</v>
      </c>
      <c r="F113" s="83">
        <f t="shared" si="30"/>
        <v>3892</v>
      </c>
      <c r="G113" s="83">
        <f t="shared" si="30"/>
        <v>6382</v>
      </c>
      <c r="H113" s="83">
        <f t="shared" si="30"/>
        <v>4918</v>
      </c>
      <c r="I113" s="83">
        <f t="shared" si="30"/>
        <v>3310</v>
      </c>
      <c r="J113" s="83">
        <f t="shared" si="30"/>
        <v>4697</v>
      </c>
      <c r="K113" s="83">
        <f t="shared" si="30"/>
        <v>2406</v>
      </c>
      <c r="L113" s="83">
        <f t="shared" si="30"/>
        <v>4454</v>
      </c>
      <c r="M113" s="83">
        <f t="shared" si="30"/>
        <v>5615</v>
      </c>
      <c r="N113" s="83">
        <f t="shared" si="30"/>
        <v>5700</v>
      </c>
      <c r="O113" s="83">
        <f t="shared" si="30"/>
        <v>8235</v>
      </c>
      <c r="P113" s="83">
        <f t="shared" si="30"/>
        <v>58743</v>
      </c>
      <c r="R113" s="278"/>
    </row>
    <row r="114" spans="1:18" ht="9.75" hidden="1" customHeight="1" x14ac:dyDescent="0.25">
      <c r="A114"/>
      <c r="B114" s="85"/>
      <c r="C114" s="86" t="s">
        <v>153</v>
      </c>
      <c r="D114" s="99">
        <v>4366</v>
      </c>
      <c r="E114" s="99">
        <v>2846</v>
      </c>
      <c r="F114" s="87">
        <v>2956</v>
      </c>
      <c r="G114" s="100">
        <v>5143</v>
      </c>
      <c r="H114" s="87">
        <v>3911</v>
      </c>
      <c r="I114" s="97">
        <v>2578</v>
      </c>
      <c r="J114" s="98">
        <v>3927</v>
      </c>
      <c r="K114" s="90">
        <v>1911</v>
      </c>
      <c r="L114" s="90">
        <v>3967</v>
      </c>
      <c r="M114" s="90">
        <v>5008</v>
      </c>
      <c r="N114" s="90">
        <v>5041</v>
      </c>
      <c r="O114" s="90">
        <v>7137</v>
      </c>
      <c r="P114" s="273">
        <f>SUM(D114:O114)</f>
        <v>48791</v>
      </c>
    </row>
    <row r="115" spans="1:18" ht="9.75" hidden="1" customHeight="1" x14ac:dyDescent="0.25">
      <c r="A115"/>
      <c r="B115" s="85"/>
      <c r="C115" s="86" t="s">
        <v>154</v>
      </c>
      <c r="D115" s="87">
        <v>733</v>
      </c>
      <c r="E115" s="87">
        <v>519</v>
      </c>
      <c r="F115" s="87">
        <v>534</v>
      </c>
      <c r="G115" s="87">
        <v>687</v>
      </c>
      <c r="H115" s="87">
        <v>636</v>
      </c>
      <c r="I115" s="87">
        <v>565</v>
      </c>
      <c r="J115" s="87">
        <v>562</v>
      </c>
      <c r="K115" s="87">
        <v>371</v>
      </c>
      <c r="L115" s="87">
        <v>356</v>
      </c>
      <c r="M115" s="87">
        <v>492</v>
      </c>
      <c r="N115" s="87">
        <v>560</v>
      </c>
      <c r="O115" s="87">
        <v>960</v>
      </c>
      <c r="P115" s="273">
        <f>SUM(D115:O115)</f>
        <v>6975</v>
      </c>
    </row>
    <row r="116" spans="1:18" ht="9.75" hidden="1" customHeight="1" x14ac:dyDescent="0.25">
      <c r="A116"/>
      <c r="B116" s="89"/>
      <c r="C116" s="86" t="s">
        <v>176</v>
      </c>
      <c r="D116" s="87">
        <v>338</v>
      </c>
      <c r="E116" s="87">
        <v>332</v>
      </c>
      <c r="F116" s="87">
        <v>402</v>
      </c>
      <c r="G116" s="87">
        <v>552</v>
      </c>
      <c r="H116" s="87">
        <v>371</v>
      </c>
      <c r="I116" s="87">
        <v>167</v>
      </c>
      <c r="J116" s="87">
        <v>208</v>
      </c>
      <c r="K116" s="87">
        <v>124</v>
      </c>
      <c r="L116" s="87">
        <v>131</v>
      </c>
      <c r="M116" s="87">
        <v>115</v>
      </c>
      <c r="N116" s="87">
        <v>99</v>
      </c>
      <c r="O116" s="87">
        <v>138</v>
      </c>
      <c r="P116" s="273">
        <f>SUM(D116:O116)</f>
        <v>2977</v>
      </c>
    </row>
    <row r="117" spans="1:18" ht="4.5" hidden="1" customHeight="1" x14ac:dyDescent="0.25">
      <c r="A117"/>
      <c r="J117" s="115"/>
      <c r="Q117"/>
    </row>
    <row r="118" spans="1:18" ht="10.199999999999999" hidden="1" customHeight="1" x14ac:dyDescent="0.25">
      <c r="A118"/>
      <c r="B118" s="92" t="s">
        <v>25</v>
      </c>
      <c r="C118" s="93"/>
      <c r="D118" s="83">
        <f t="shared" ref="D118:P118" si="31">SUM(D119:D121)</f>
        <v>2036</v>
      </c>
      <c r="E118" s="83">
        <f t="shared" si="31"/>
        <v>4176</v>
      </c>
      <c r="F118" s="83">
        <f t="shared" si="31"/>
        <v>4317</v>
      </c>
      <c r="G118" s="83">
        <f t="shared" si="31"/>
        <v>4165</v>
      </c>
      <c r="H118" s="83">
        <f t="shared" si="31"/>
        <v>3990</v>
      </c>
      <c r="I118" s="83">
        <f t="shared" si="31"/>
        <v>4717</v>
      </c>
      <c r="J118" s="83">
        <f t="shared" si="31"/>
        <v>4412</v>
      </c>
      <c r="K118" s="83">
        <f t="shared" si="31"/>
        <v>4332</v>
      </c>
      <c r="L118" s="83">
        <f t="shared" si="31"/>
        <v>4585</v>
      </c>
      <c r="M118" s="83">
        <f t="shared" si="31"/>
        <v>3323</v>
      </c>
      <c r="N118" s="83">
        <f t="shared" si="31"/>
        <v>3739</v>
      </c>
      <c r="O118" s="83">
        <f t="shared" si="31"/>
        <v>4516</v>
      </c>
      <c r="P118" s="83">
        <f t="shared" si="31"/>
        <v>48308</v>
      </c>
    </row>
    <row r="119" spans="1:18" ht="9.9" hidden="1" customHeight="1" x14ac:dyDescent="0.25">
      <c r="A119"/>
      <c r="B119" s="85"/>
      <c r="C119" s="86" t="s">
        <v>52</v>
      </c>
      <c r="D119" s="122">
        <v>141</v>
      </c>
      <c r="E119" s="122">
        <v>1199</v>
      </c>
      <c r="F119" s="122">
        <v>1054</v>
      </c>
      <c r="G119" s="87">
        <v>1509</v>
      </c>
      <c r="H119" s="87">
        <v>1677</v>
      </c>
      <c r="I119" s="87">
        <v>827</v>
      </c>
      <c r="J119" s="87">
        <v>1511</v>
      </c>
      <c r="K119" s="87">
        <v>1513</v>
      </c>
      <c r="L119" s="87">
        <v>1963</v>
      </c>
      <c r="M119" s="87">
        <v>1829</v>
      </c>
      <c r="N119" s="87">
        <v>1693</v>
      </c>
      <c r="O119" s="87">
        <v>1463</v>
      </c>
      <c r="P119" s="272">
        <f>SUM(D119:O119)</f>
        <v>16379</v>
      </c>
    </row>
    <row r="120" spans="1:18" ht="9.9" hidden="1" customHeight="1" x14ac:dyDescent="0.25">
      <c r="A120"/>
      <c r="B120" s="85"/>
      <c r="C120" s="86" t="s">
        <v>136</v>
      </c>
      <c r="D120" s="87">
        <v>1748</v>
      </c>
      <c r="E120" s="87">
        <v>2486</v>
      </c>
      <c r="F120" s="87">
        <v>2629</v>
      </c>
      <c r="G120" s="87">
        <v>2242</v>
      </c>
      <c r="H120" s="87">
        <v>2196</v>
      </c>
      <c r="I120" s="87">
        <v>3261</v>
      </c>
      <c r="J120" s="87">
        <v>2616</v>
      </c>
      <c r="K120" s="87">
        <v>2463</v>
      </c>
      <c r="L120" s="87">
        <v>2411</v>
      </c>
      <c r="M120" s="87">
        <v>1280</v>
      </c>
      <c r="N120" s="87">
        <v>1672</v>
      </c>
      <c r="O120" s="87">
        <v>2502</v>
      </c>
      <c r="P120" s="272">
        <f>SUM(D120:O120)</f>
        <v>27506</v>
      </c>
    </row>
    <row r="121" spans="1:18" ht="9.9" hidden="1" customHeight="1" x14ac:dyDescent="0.25">
      <c r="A121"/>
      <c r="B121" s="89"/>
      <c r="C121" s="86" t="s">
        <v>139</v>
      </c>
      <c r="D121" s="87">
        <v>147</v>
      </c>
      <c r="E121" s="87">
        <v>491</v>
      </c>
      <c r="F121" s="87">
        <v>634</v>
      </c>
      <c r="G121" s="87">
        <v>414</v>
      </c>
      <c r="H121" s="87">
        <v>117</v>
      </c>
      <c r="I121" s="87">
        <v>629</v>
      </c>
      <c r="J121" s="87">
        <v>285</v>
      </c>
      <c r="K121" s="87">
        <v>356</v>
      </c>
      <c r="L121" s="87">
        <v>211</v>
      </c>
      <c r="M121" s="87">
        <v>214</v>
      </c>
      <c r="N121" s="87">
        <v>374</v>
      </c>
      <c r="O121" s="87">
        <v>551</v>
      </c>
      <c r="P121" s="272">
        <f>SUM(D121:O121)</f>
        <v>4423</v>
      </c>
    </row>
    <row r="122" spans="1:18" ht="6" hidden="1" customHeight="1" x14ac:dyDescent="0.25">
      <c r="A122"/>
      <c r="B122" s="101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6"/>
    </row>
    <row r="123" spans="1:18" ht="11.4" hidden="1" customHeight="1" x14ac:dyDescent="0.25">
      <c r="A123"/>
      <c r="B123" s="81" t="s">
        <v>27</v>
      </c>
      <c r="C123" s="82"/>
      <c r="D123" s="83">
        <f>SUM(D124:D127)</f>
        <v>1806</v>
      </c>
      <c r="E123" s="83">
        <f t="shared" ref="E123:P123" si="32">SUM(E124:E127)</f>
        <v>4490</v>
      </c>
      <c r="F123" s="83">
        <f t="shared" si="32"/>
        <v>6663</v>
      </c>
      <c r="G123" s="83">
        <f t="shared" si="32"/>
        <v>5192</v>
      </c>
      <c r="H123" s="83">
        <f t="shared" si="32"/>
        <v>7602</v>
      </c>
      <c r="I123" s="83">
        <f t="shared" si="32"/>
        <v>7919</v>
      </c>
      <c r="J123" s="83">
        <f t="shared" si="32"/>
        <v>6777</v>
      </c>
      <c r="K123" s="83">
        <f t="shared" si="32"/>
        <v>4606</v>
      </c>
      <c r="L123" s="83">
        <f t="shared" si="32"/>
        <v>4643</v>
      </c>
      <c r="M123" s="83">
        <f t="shared" si="32"/>
        <v>4661</v>
      </c>
      <c r="N123" s="83">
        <f t="shared" si="32"/>
        <v>3754</v>
      </c>
      <c r="O123" s="83">
        <f t="shared" si="32"/>
        <v>8917</v>
      </c>
      <c r="P123" s="83">
        <f t="shared" si="32"/>
        <v>67030</v>
      </c>
    </row>
    <row r="124" spans="1:18" ht="9.75" hidden="1" customHeight="1" x14ac:dyDescent="0.25">
      <c r="A124"/>
      <c r="B124" s="85"/>
      <c r="C124" s="147" t="s">
        <v>79</v>
      </c>
      <c r="D124" s="148">
        <v>1663</v>
      </c>
      <c r="E124" s="148">
        <v>3155</v>
      </c>
      <c r="F124" s="149">
        <v>3888</v>
      </c>
      <c r="G124" s="150">
        <v>3311</v>
      </c>
      <c r="H124" s="149">
        <v>4800</v>
      </c>
      <c r="I124" s="151">
        <v>5094</v>
      </c>
      <c r="J124" s="151">
        <v>4764</v>
      </c>
      <c r="K124" s="149">
        <v>3201</v>
      </c>
      <c r="L124" s="149">
        <v>2891</v>
      </c>
      <c r="M124" s="149">
        <v>3219</v>
      </c>
      <c r="N124" s="149">
        <v>1991</v>
      </c>
      <c r="O124" s="149">
        <v>270</v>
      </c>
      <c r="P124" s="272">
        <f>SUM(D124:O124)</f>
        <v>38247</v>
      </c>
    </row>
    <row r="125" spans="1:18" ht="9.75" hidden="1" customHeight="1" x14ac:dyDescent="0.25">
      <c r="A125"/>
      <c r="B125" s="85"/>
      <c r="C125" s="86" t="s">
        <v>140</v>
      </c>
      <c r="D125" s="99">
        <v>143</v>
      </c>
      <c r="E125" s="99">
        <v>1335</v>
      </c>
      <c r="F125" s="87">
        <v>2775</v>
      </c>
      <c r="G125" s="100">
        <v>1881</v>
      </c>
      <c r="H125" s="87">
        <v>2802</v>
      </c>
      <c r="I125" s="97">
        <v>2825</v>
      </c>
      <c r="J125" s="98">
        <v>2013</v>
      </c>
      <c r="K125" s="90">
        <v>1405</v>
      </c>
      <c r="L125" s="90">
        <v>1752</v>
      </c>
      <c r="M125" s="90">
        <v>1442</v>
      </c>
      <c r="N125" s="90">
        <v>740</v>
      </c>
      <c r="O125" s="90">
        <v>7</v>
      </c>
      <c r="P125" s="272">
        <f>SUM(D125:O125)</f>
        <v>19120</v>
      </c>
    </row>
    <row r="126" spans="1:18" ht="9.75" hidden="1" customHeight="1" x14ac:dyDescent="0.25">
      <c r="A126"/>
      <c r="B126" s="85"/>
      <c r="C126" s="147" t="s">
        <v>220</v>
      </c>
      <c r="D126" s="148">
        <v>0</v>
      </c>
      <c r="E126" s="148">
        <v>0</v>
      </c>
      <c r="F126" s="149">
        <v>0</v>
      </c>
      <c r="G126" s="150">
        <v>0</v>
      </c>
      <c r="H126" s="149">
        <v>0</v>
      </c>
      <c r="I126" s="151">
        <v>0</v>
      </c>
      <c r="J126" s="151">
        <v>0</v>
      </c>
      <c r="K126" s="149">
        <v>0</v>
      </c>
      <c r="L126" s="149">
        <v>0</v>
      </c>
      <c r="M126" s="149">
        <v>0</v>
      </c>
      <c r="N126" s="149">
        <v>1023</v>
      </c>
      <c r="O126" s="149">
        <v>7486</v>
      </c>
      <c r="P126" s="272">
        <f>SUM(D126:O126)</f>
        <v>8509</v>
      </c>
    </row>
    <row r="127" spans="1:18" ht="9.75" hidden="1" customHeight="1" x14ac:dyDescent="0.25">
      <c r="A127"/>
      <c r="B127" s="89"/>
      <c r="C127" s="86" t="s">
        <v>221</v>
      </c>
      <c r="D127" s="87">
        <v>0</v>
      </c>
      <c r="E127" s="87">
        <v>0</v>
      </c>
      <c r="F127" s="87">
        <v>0</v>
      </c>
      <c r="G127" s="87">
        <v>0</v>
      </c>
      <c r="H127" s="87">
        <v>0</v>
      </c>
      <c r="I127" s="87">
        <v>0</v>
      </c>
      <c r="J127" s="87">
        <v>0</v>
      </c>
      <c r="K127" s="87">
        <v>0</v>
      </c>
      <c r="L127" s="87">
        <v>0</v>
      </c>
      <c r="M127" s="87">
        <v>0</v>
      </c>
      <c r="N127" s="87">
        <v>0</v>
      </c>
      <c r="O127" s="87">
        <v>1154</v>
      </c>
      <c r="P127" s="272">
        <f>SUM(D127:O127)</f>
        <v>1154</v>
      </c>
    </row>
    <row r="128" spans="1:18" ht="6" hidden="1" customHeight="1" x14ac:dyDescent="0.25">
      <c r="A128"/>
      <c r="B128" s="101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6"/>
    </row>
    <row r="129" spans="1:17" ht="9.9" hidden="1" customHeight="1" x14ac:dyDescent="0.25">
      <c r="B129" s="81" t="s">
        <v>113</v>
      </c>
      <c r="C129" s="82"/>
      <c r="D129" s="83">
        <f>SUM(D130:D133)</f>
        <v>479</v>
      </c>
      <c r="E129" s="83">
        <f t="shared" ref="E129:P129" si="33">SUM(E130:E133)</f>
        <v>923</v>
      </c>
      <c r="F129" s="83">
        <f t="shared" si="33"/>
        <v>759</v>
      </c>
      <c r="G129" s="83">
        <f t="shared" si="33"/>
        <v>773</v>
      </c>
      <c r="H129" s="83">
        <f t="shared" si="33"/>
        <v>759</v>
      </c>
      <c r="I129" s="83">
        <f t="shared" si="33"/>
        <v>758</v>
      </c>
      <c r="J129" s="83">
        <f t="shared" si="33"/>
        <v>648</v>
      </c>
      <c r="K129" s="83">
        <f t="shared" si="33"/>
        <v>743</v>
      </c>
      <c r="L129" s="83">
        <f t="shared" si="33"/>
        <v>632</v>
      </c>
      <c r="M129" s="83">
        <f t="shared" si="33"/>
        <v>493</v>
      </c>
      <c r="N129" s="83">
        <f t="shared" si="33"/>
        <v>693</v>
      </c>
      <c r="O129" s="83">
        <f t="shared" si="33"/>
        <v>728</v>
      </c>
      <c r="P129" s="83">
        <f t="shared" si="33"/>
        <v>8388</v>
      </c>
    </row>
    <row r="130" spans="1:17" ht="9.9" hidden="1" customHeight="1" x14ac:dyDescent="0.25">
      <c r="B130" s="85"/>
      <c r="C130" s="86" t="s">
        <v>128</v>
      </c>
      <c r="D130" s="99">
        <v>259</v>
      </c>
      <c r="E130" s="99">
        <v>667</v>
      </c>
      <c r="F130" s="87">
        <v>543</v>
      </c>
      <c r="G130" s="100">
        <v>543</v>
      </c>
      <c r="H130" s="87">
        <v>605</v>
      </c>
      <c r="I130" s="97">
        <v>528</v>
      </c>
      <c r="J130" s="98">
        <v>470</v>
      </c>
      <c r="K130" s="90">
        <v>576</v>
      </c>
      <c r="L130" s="90">
        <v>458</v>
      </c>
      <c r="M130" s="90">
        <v>354</v>
      </c>
      <c r="N130" s="90">
        <v>421</v>
      </c>
      <c r="O130" s="90">
        <v>490</v>
      </c>
      <c r="P130" s="273">
        <f>SUM(D130:O130)</f>
        <v>5914</v>
      </c>
    </row>
    <row r="131" spans="1:17" ht="9.9" hidden="1" customHeight="1" x14ac:dyDescent="0.25">
      <c r="B131" s="85"/>
      <c r="C131" s="86" t="s">
        <v>142</v>
      </c>
      <c r="D131" s="99">
        <v>194</v>
      </c>
      <c r="E131" s="99">
        <v>225</v>
      </c>
      <c r="F131" s="87">
        <v>169</v>
      </c>
      <c r="G131" s="100">
        <v>194</v>
      </c>
      <c r="H131" s="87">
        <v>135</v>
      </c>
      <c r="I131" s="97">
        <v>205</v>
      </c>
      <c r="J131" s="97">
        <v>160</v>
      </c>
      <c r="K131" s="87">
        <v>147</v>
      </c>
      <c r="L131" s="87">
        <v>163</v>
      </c>
      <c r="M131" s="87">
        <v>124</v>
      </c>
      <c r="N131" s="87">
        <v>253</v>
      </c>
      <c r="O131" s="87">
        <v>237</v>
      </c>
      <c r="P131" s="273">
        <f>SUM(D131:O131)</f>
        <v>2206</v>
      </c>
    </row>
    <row r="132" spans="1:17" ht="9.9" hidden="1" customHeight="1" x14ac:dyDescent="0.25">
      <c r="B132" s="85"/>
      <c r="C132" s="86" t="s">
        <v>176</v>
      </c>
      <c r="D132" s="99">
        <v>26</v>
      </c>
      <c r="E132" s="99">
        <v>31</v>
      </c>
      <c r="F132" s="87">
        <v>47</v>
      </c>
      <c r="G132" s="100">
        <v>36</v>
      </c>
      <c r="H132" s="87">
        <v>19</v>
      </c>
      <c r="I132" s="97">
        <v>25</v>
      </c>
      <c r="J132" s="97">
        <v>18</v>
      </c>
      <c r="K132" s="87">
        <v>20</v>
      </c>
      <c r="L132" s="87">
        <v>11</v>
      </c>
      <c r="M132" s="87">
        <v>15</v>
      </c>
      <c r="N132" s="87">
        <v>19</v>
      </c>
      <c r="O132" s="87">
        <v>1</v>
      </c>
      <c r="P132" s="273">
        <f>SUM(D132:O132)</f>
        <v>268</v>
      </c>
    </row>
    <row r="133" spans="1:17" ht="9.9" hidden="1" customHeight="1" x14ac:dyDescent="0.25">
      <c r="B133" s="89"/>
      <c r="C133" s="86" t="s">
        <v>143</v>
      </c>
      <c r="D133" s="99">
        <v>0</v>
      </c>
      <c r="E133" s="99">
        <v>0</v>
      </c>
      <c r="F133" s="87">
        <v>0</v>
      </c>
      <c r="G133" s="100">
        <v>0</v>
      </c>
      <c r="H133" s="87">
        <v>0</v>
      </c>
      <c r="I133" s="97">
        <v>0</v>
      </c>
      <c r="J133" s="98">
        <v>0</v>
      </c>
      <c r="K133" s="90">
        <v>0</v>
      </c>
      <c r="L133" s="90">
        <v>0</v>
      </c>
      <c r="M133" s="90">
        <v>0</v>
      </c>
      <c r="N133" s="90">
        <v>0</v>
      </c>
      <c r="O133" s="90">
        <v>0</v>
      </c>
      <c r="P133" s="272">
        <f>SUM(D133:O133)</f>
        <v>0</v>
      </c>
    </row>
    <row r="134" spans="1:17" s="207" customFormat="1" ht="6.6" hidden="1" customHeight="1" x14ac:dyDescent="0.25">
      <c r="A134" s="202"/>
      <c r="B134" s="101"/>
      <c r="C134" s="101"/>
      <c r="D134" s="203"/>
      <c r="E134" s="203"/>
      <c r="F134" s="203"/>
      <c r="G134" s="203"/>
      <c r="H134" s="203"/>
      <c r="I134" s="203"/>
      <c r="J134" s="203"/>
      <c r="K134" s="203"/>
      <c r="L134" s="203"/>
      <c r="M134" s="203"/>
      <c r="N134" s="203"/>
      <c r="O134" s="203"/>
      <c r="P134" s="205"/>
      <c r="Q134" s="206"/>
    </row>
    <row r="135" spans="1:17" ht="9.9" hidden="1" customHeight="1" x14ac:dyDescent="0.25">
      <c r="B135" s="81" t="s">
        <v>59</v>
      </c>
      <c r="C135" s="82"/>
      <c r="D135" s="83">
        <f>SUM(D136:D137)</f>
        <v>3619</v>
      </c>
      <c r="E135" s="83">
        <f>SUM(E136:E137)</f>
        <v>2684</v>
      </c>
      <c r="F135" s="83">
        <f t="shared" ref="F135:P135" si="34">SUM(F136:F137)</f>
        <v>2740</v>
      </c>
      <c r="G135" s="83">
        <f t="shared" si="34"/>
        <v>4175</v>
      </c>
      <c r="H135" s="83">
        <f t="shared" si="34"/>
        <v>3722</v>
      </c>
      <c r="I135" s="83">
        <f t="shared" si="34"/>
        <v>2864</v>
      </c>
      <c r="J135" s="83">
        <f t="shared" si="34"/>
        <v>1548</v>
      </c>
      <c r="K135" s="83">
        <f t="shared" si="34"/>
        <v>1962</v>
      </c>
      <c r="L135" s="83">
        <f t="shared" si="34"/>
        <v>2452</v>
      </c>
      <c r="M135" s="83">
        <f t="shared" si="34"/>
        <v>1729</v>
      </c>
      <c r="N135" s="83">
        <f t="shared" si="34"/>
        <v>2312</v>
      </c>
      <c r="O135" s="83">
        <f t="shared" si="34"/>
        <v>3083</v>
      </c>
      <c r="P135" s="83">
        <f t="shared" si="34"/>
        <v>32890</v>
      </c>
    </row>
    <row r="136" spans="1:17" ht="9.9" hidden="1" customHeight="1" x14ac:dyDescent="0.25">
      <c r="B136" s="85"/>
      <c r="C136" s="86" t="s">
        <v>156</v>
      </c>
      <c r="D136" s="99">
        <v>2728</v>
      </c>
      <c r="E136" s="99">
        <v>2034</v>
      </c>
      <c r="F136" s="87">
        <v>2072</v>
      </c>
      <c r="G136" s="100">
        <v>3273</v>
      </c>
      <c r="H136" s="87">
        <v>2258</v>
      </c>
      <c r="I136" s="97">
        <v>1724</v>
      </c>
      <c r="J136" s="97">
        <v>1093</v>
      </c>
      <c r="K136" s="87">
        <v>1398</v>
      </c>
      <c r="L136" s="87">
        <v>1493</v>
      </c>
      <c r="M136" s="87">
        <v>1052</v>
      </c>
      <c r="N136" s="87">
        <v>1415</v>
      </c>
      <c r="O136" s="87">
        <v>1890</v>
      </c>
      <c r="P136" s="273">
        <f>SUM(D136:O136)</f>
        <v>22430</v>
      </c>
    </row>
    <row r="137" spans="1:17" ht="9.9" hidden="1" customHeight="1" x14ac:dyDescent="0.25">
      <c r="B137" s="89"/>
      <c r="C137" s="86" t="s">
        <v>157</v>
      </c>
      <c r="D137" s="99">
        <v>891</v>
      </c>
      <c r="E137" s="99">
        <v>650</v>
      </c>
      <c r="F137" s="87">
        <v>668</v>
      </c>
      <c r="G137" s="100">
        <v>902</v>
      </c>
      <c r="H137" s="87">
        <v>1464</v>
      </c>
      <c r="I137" s="97">
        <v>1140</v>
      </c>
      <c r="J137" s="97">
        <v>455</v>
      </c>
      <c r="K137" s="87">
        <v>564</v>
      </c>
      <c r="L137" s="87">
        <v>959</v>
      </c>
      <c r="M137" s="87">
        <v>677</v>
      </c>
      <c r="N137" s="87">
        <v>897</v>
      </c>
      <c r="O137" s="87">
        <v>1193</v>
      </c>
      <c r="P137" s="273">
        <f>SUM(D137:O137)</f>
        <v>10460</v>
      </c>
    </row>
    <row r="138" spans="1:17" s="207" customFormat="1" ht="6.6" hidden="1" customHeight="1" x14ac:dyDescent="0.25">
      <c r="A138" s="202"/>
      <c r="B138" s="101"/>
      <c r="C138" s="101"/>
      <c r="D138" s="203"/>
      <c r="E138" s="203"/>
      <c r="F138" s="203"/>
      <c r="G138" s="203"/>
      <c r="H138" s="203"/>
      <c r="I138" s="203"/>
      <c r="J138" s="203"/>
      <c r="K138" s="203"/>
      <c r="L138" s="203"/>
      <c r="M138" s="203"/>
      <c r="N138" s="203"/>
      <c r="O138" s="203"/>
      <c r="P138" s="205"/>
      <c r="Q138" s="206"/>
    </row>
    <row r="139" spans="1:17" ht="9.9" hidden="1" customHeight="1" x14ac:dyDescent="0.25">
      <c r="B139" s="81" t="s">
        <v>8</v>
      </c>
      <c r="C139" s="82"/>
      <c r="D139" s="267">
        <f>SUM(D140:D141)</f>
        <v>2159</v>
      </c>
      <c r="E139" s="267">
        <f t="shared" ref="E139:P139" si="35">SUM(E140:E141)</f>
        <v>1680</v>
      </c>
      <c r="F139" s="267">
        <f t="shared" si="35"/>
        <v>1860</v>
      </c>
      <c r="G139" s="267">
        <f t="shared" si="35"/>
        <v>1997</v>
      </c>
      <c r="H139" s="267">
        <f t="shared" si="35"/>
        <v>2477</v>
      </c>
      <c r="I139" s="267">
        <f t="shared" si="35"/>
        <v>2913</v>
      </c>
      <c r="J139" s="267">
        <f t="shared" si="35"/>
        <v>1361</v>
      </c>
      <c r="K139" s="267">
        <f t="shared" si="35"/>
        <v>2534</v>
      </c>
      <c r="L139" s="267">
        <f t="shared" si="35"/>
        <v>2327</v>
      </c>
      <c r="M139" s="267">
        <f t="shared" si="35"/>
        <v>2722</v>
      </c>
      <c r="N139" s="267">
        <f t="shared" si="35"/>
        <v>2864</v>
      </c>
      <c r="O139" s="267">
        <f t="shared" si="35"/>
        <v>3811</v>
      </c>
      <c r="P139" s="267">
        <f t="shared" si="35"/>
        <v>28705</v>
      </c>
    </row>
    <row r="140" spans="1:17" ht="9.9" hidden="1" customHeight="1" x14ac:dyDescent="0.25">
      <c r="B140" s="85"/>
      <c r="C140" s="86" t="s">
        <v>123</v>
      </c>
      <c r="D140" s="87">
        <v>1039</v>
      </c>
      <c r="E140" s="87">
        <v>831</v>
      </c>
      <c r="F140" s="87">
        <v>988</v>
      </c>
      <c r="G140" s="87">
        <v>1139</v>
      </c>
      <c r="H140" s="87">
        <v>1376</v>
      </c>
      <c r="I140" s="87">
        <v>1657</v>
      </c>
      <c r="J140" s="97">
        <v>914</v>
      </c>
      <c r="K140" s="87">
        <v>1352</v>
      </c>
      <c r="L140" s="87">
        <v>1312</v>
      </c>
      <c r="M140" s="87">
        <v>1137</v>
      </c>
      <c r="N140" s="87">
        <v>1460</v>
      </c>
      <c r="O140" s="87">
        <v>1916</v>
      </c>
      <c r="P140" s="273">
        <f>SUM(D140:O140)</f>
        <v>15121</v>
      </c>
    </row>
    <row r="141" spans="1:17" ht="9.9" hidden="1" customHeight="1" x14ac:dyDescent="0.25">
      <c r="B141" s="89"/>
      <c r="C141" s="86" t="s">
        <v>180</v>
      </c>
      <c r="D141" s="268">
        <v>1120</v>
      </c>
      <c r="E141" s="268">
        <v>849</v>
      </c>
      <c r="F141" s="269">
        <v>872</v>
      </c>
      <c r="G141" s="270">
        <v>858</v>
      </c>
      <c r="H141" s="269">
        <v>1101</v>
      </c>
      <c r="I141" s="271">
        <v>1256</v>
      </c>
      <c r="J141" s="97">
        <v>447</v>
      </c>
      <c r="K141" s="87">
        <v>1182</v>
      </c>
      <c r="L141" s="87">
        <v>1015</v>
      </c>
      <c r="M141" s="87">
        <v>1585</v>
      </c>
      <c r="N141" s="87">
        <v>1404</v>
      </c>
      <c r="O141" s="87">
        <v>1895</v>
      </c>
      <c r="P141" s="273">
        <f>SUM(D141:O141)</f>
        <v>13584</v>
      </c>
    </row>
    <row r="142" spans="1:17" s="207" customFormat="1" ht="7.2" hidden="1" customHeight="1" x14ac:dyDescent="0.25">
      <c r="A142" s="202"/>
      <c r="B142" s="101"/>
      <c r="C142" s="101"/>
      <c r="D142" s="203"/>
      <c r="E142" s="203"/>
      <c r="F142" s="203"/>
      <c r="G142" s="203"/>
      <c r="H142" s="203"/>
      <c r="I142" s="203"/>
      <c r="J142" s="203"/>
      <c r="K142" s="203"/>
      <c r="L142" s="203"/>
      <c r="M142" s="203"/>
      <c r="N142" s="203"/>
      <c r="O142" s="203"/>
      <c r="P142" s="205"/>
      <c r="Q142" s="206"/>
    </row>
    <row r="143" spans="1:17" ht="10.199999999999999" hidden="1" customHeight="1" x14ac:dyDescent="0.25">
      <c r="B143" s="92" t="s">
        <v>117</v>
      </c>
      <c r="C143" s="93"/>
      <c r="D143" s="83">
        <f t="shared" ref="D143:P143" si="36">SUM(D144:D145)</f>
        <v>5501</v>
      </c>
      <c r="E143" s="83">
        <f t="shared" si="36"/>
        <v>4655</v>
      </c>
      <c r="F143" s="83">
        <f t="shared" si="36"/>
        <v>3967</v>
      </c>
      <c r="G143" s="83">
        <f t="shared" si="36"/>
        <v>4023</v>
      </c>
      <c r="H143" s="83">
        <f t="shared" si="36"/>
        <v>4330</v>
      </c>
      <c r="I143" s="83">
        <f t="shared" si="36"/>
        <v>3630</v>
      </c>
      <c r="J143" s="83">
        <f t="shared" si="36"/>
        <v>2966</v>
      </c>
      <c r="K143" s="83">
        <f t="shared" si="36"/>
        <v>3080</v>
      </c>
      <c r="L143" s="83">
        <f t="shared" si="36"/>
        <v>2863</v>
      </c>
      <c r="M143" s="83">
        <f t="shared" si="36"/>
        <v>3082</v>
      </c>
      <c r="N143" s="83">
        <f t="shared" si="36"/>
        <v>4224</v>
      </c>
      <c r="O143" s="83">
        <f t="shared" si="36"/>
        <v>4833</v>
      </c>
      <c r="P143" s="83">
        <f t="shared" si="36"/>
        <v>47154</v>
      </c>
    </row>
    <row r="144" spans="1:17" ht="9.9" hidden="1" customHeight="1" x14ac:dyDescent="0.25">
      <c r="B144" s="85"/>
      <c r="C144" s="86" t="s">
        <v>151</v>
      </c>
      <c r="D144" s="99">
        <v>5323</v>
      </c>
      <c r="E144" s="99">
        <v>4543</v>
      </c>
      <c r="F144" s="99">
        <v>3640</v>
      </c>
      <c r="G144" s="99">
        <v>3793</v>
      </c>
      <c r="H144" s="99">
        <v>3994</v>
      </c>
      <c r="I144" s="99">
        <v>3222</v>
      </c>
      <c r="J144" s="99">
        <v>2758</v>
      </c>
      <c r="K144" s="99">
        <v>2818</v>
      </c>
      <c r="L144" s="99">
        <v>2695</v>
      </c>
      <c r="M144" s="99">
        <v>2895</v>
      </c>
      <c r="N144" s="90">
        <v>4035</v>
      </c>
      <c r="O144" s="90">
        <v>4763</v>
      </c>
      <c r="P144" s="272">
        <f>SUM(D144:O144)</f>
        <v>44479</v>
      </c>
    </row>
    <row r="145" spans="1:17" s="16" customFormat="1" ht="8.4" hidden="1" customHeight="1" x14ac:dyDescent="0.25">
      <c r="A145" s="20"/>
      <c r="B145" s="89"/>
      <c r="C145" s="86" t="s">
        <v>194</v>
      </c>
      <c r="D145" s="99">
        <v>178</v>
      </c>
      <c r="E145" s="99">
        <v>112</v>
      </c>
      <c r="F145" s="99">
        <v>327</v>
      </c>
      <c r="G145" s="99">
        <v>230</v>
      </c>
      <c r="H145" s="99">
        <v>336</v>
      </c>
      <c r="I145" s="99">
        <v>408</v>
      </c>
      <c r="J145" s="99">
        <v>208</v>
      </c>
      <c r="K145" s="99">
        <v>262</v>
      </c>
      <c r="L145" s="99">
        <v>168</v>
      </c>
      <c r="M145" s="99">
        <v>187</v>
      </c>
      <c r="N145" s="90">
        <v>189</v>
      </c>
      <c r="O145" s="90">
        <v>70</v>
      </c>
      <c r="P145" s="272">
        <f>SUM(D145:O145)</f>
        <v>2675</v>
      </c>
      <c r="Q145" s="112"/>
    </row>
    <row r="146" spans="1:17" ht="6.6" hidden="1" customHeight="1" x14ac:dyDescent="0.25">
      <c r="A146" s="190"/>
      <c r="B146" s="191"/>
      <c r="C146" s="191"/>
      <c r="D146" s="192"/>
      <c r="E146" s="192"/>
      <c r="F146" s="192"/>
      <c r="G146" s="192"/>
      <c r="H146" s="192"/>
      <c r="I146" s="192"/>
      <c r="J146" s="193"/>
      <c r="K146" s="193"/>
      <c r="L146" s="193"/>
      <c r="M146" s="193"/>
      <c r="N146" s="193"/>
      <c r="O146" s="193"/>
      <c r="P146" s="194"/>
    </row>
    <row r="147" spans="1:17" ht="10.199999999999999" hidden="1" customHeight="1" x14ac:dyDescent="0.25">
      <c r="B147" s="81" t="s">
        <v>161</v>
      </c>
      <c r="C147" s="82"/>
      <c r="D147" s="83">
        <f>SUM(D148,D149)</f>
        <v>2415</v>
      </c>
      <c r="E147" s="83">
        <f t="shared" ref="E147:O147" si="37">SUM(E148,E149)</f>
        <v>2592</v>
      </c>
      <c r="F147" s="83">
        <f t="shared" si="37"/>
        <v>1907</v>
      </c>
      <c r="G147" s="83">
        <f t="shared" si="37"/>
        <v>2100</v>
      </c>
      <c r="H147" s="83">
        <f t="shared" si="37"/>
        <v>2859</v>
      </c>
      <c r="I147" s="83">
        <f t="shared" si="37"/>
        <v>2219</v>
      </c>
      <c r="J147" s="83">
        <f t="shared" si="37"/>
        <v>2231</v>
      </c>
      <c r="K147" s="83">
        <f t="shared" si="37"/>
        <v>2004</v>
      </c>
      <c r="L147" s="83">
        <f t="shared" si="37"/>
        <v>2348</v>
      </c>
      <c r="M147" s="83">
        <f t="shared" si="37"/>
        <v>2413</v>
      </c>
      <c r="N147" s="83">
        <f t="shared" si="37"/>
        <v>2832</v>
      </c>
      <c r="O147" s="83">
        <f t="shared" si="37"/>
        <v>3577</v>
      </c>
      <c r="P147" s="83">
        <f>SUM(P148:P149)</f>
        <v>29497</v>
      </c>
    </row>
    <row r="148" spans="1:17" ht="9.9" hidden="1" customHeight="1" x14ac:dyDescent="0.25">
      <c r="B148" s="85"/>
      <c r="C148" s="86" t="s">
        <v>193</v>
      </c>
      <c r="D148" s="99">
        <v>2415</v>
      </c>
      <c r="E148" s="99">
        <v>2592</v>
      </c>
      <c r="F148" s="99">
        <v>1813</v>
      </c>
      <c r="G148" s="99">
        <v>1686</v>
      </c>
      <c r="H148" s="99">
        <v>2315</v>
      </c>
      <c r="I148" s="99">
        <v>1734</v>
      </c>
      <c r="J148" s="99">
        <v>1894</v>
      </c>
      <c r="K148" s="99">
        <v>1673</v>
      </c>
      <c r="L148" s="99">
        <v>2108</v>
      </c>
      <c r="M148" s="99">
        <v>2240</v>
      </c>
      <c r="N148" s="90">
        <v>2598</v>
      </c>
      <c r="O148" s="90">
        <v>3477</v>
      </c>
      <c r="P148" s="272">
        <f>SUM(D148:O148)</f>
        <v>26545</v>
      </c>
    </row>
    <row r="149" spans="1:17" s="16" customFormat="1" ht="8.4" hidden="1" customHeight="1" x14ac:dyDescent="0.25">
      <c r="A149" s="20"/>
      <c r="B149" s="89"/>
      <c r="C149" s="86" t="s">
        <v>195</v>
      </c>
      <c r="D149" s="99">
        <v>0</v>
      </c>
      <c r="E149" s="99">
        <v>0</v>
      </c>
      <c r="F149" s="99">
        <v>94</v>
      </c>
      <c r="G149" s="99">
        <v>414</v>
      </c>
      <c r="H149" s="99">
        <v>544</v>
      </c>
      <c r="I149" s="99">
        <v>485</v>
      </c>
      <c r="J149" s="99">
        <v>337</v>
      </c>
      <c r="K149" s="99">
        <v>331</v>
      </c>
      <c r="L149" s="99">
        <v>240</v>
      </c>
      <c r="M149" s="99">
        <v>173</v>
      </c>
      <c r="N149" s="90">
        <v>234</v>
      </c>
      <c r="O149" s="90">
        <v>100</v>
      </c>
      <c r="P149" s="272">
        <f>SUM(D149:O149)</f>
        <v>2952</v>
      </c>
      <c r="Q149" s="112"/>
    </row>
    <row r="150" spans="1:17" ht="6.6" hidden="1" customHeight="1" x14ac:dyDescent="0.25">
      <c r="A150" s="190"/>
      <c r="B150" s="191"/>
      <c r="C150" s="191"/>
      <c r="D150" s="192"/>
      <c r="E150" s="192"/>
      <c r="F150" s="192"/>
      <c r="G150" s="192"/>
      <c r="H150" s="192"/>
      <c r="I150" s="192"/>
      <c r="J150" s="193"/>
      <c r="K150" s="193"/>
      <c r="L150" s="193"/>
      <c r="M150" s="193"/>
      <c r="N150" s="193"/>
      <c r="O150" s="193"/>
      <c r="P150" s="194"/>
    </row>
    <row r="151" spans="1:17" ht="10.199999999999999" hidden="1" customHeight="1" x14ac:dyDescent="0.25">
      <c r="B151" s="81" t="s">
        <v>12</v>
      </c>
      <c r="C151" s="82"/>
      <c r="D151" s="83">
        <f>SUM(D152:D153)</f>
        <v>5443</v>
      </c>
      <c r="E151" s="83">
        <f t="shared" ref="E151:P151" si="38">SUM(E152:E153)</f>
        <v>7995</v>
      </c>
      <c r="F151" s="83">
        <f t="shared" si="38"/>
        <v>4708</v>
      </c>
      <c r="G151" s="83">
        <f t="shared" si="38"/>
        <v>8423</v>
      </c>
      <c r="H151" s="83">
        <f t="shared" si="38"/>
        <v>8299</v>
      </c>
      <c r="I151" s="83">
        <f t="shared" si="38"/>
        <v>6980</v>
      </c>
      <c r="J151" s="83">
        <f t="shared" si="38"/>
        <v>8986</v>
      </c>
      <c r="K151" s="83">
        <f t="shared" si="38"/>
        <v>7792</v>
      </c>
      <c r="L151" s="83">
        <f t="shared" si="38"/>
        <v>8503</v>
      </c>
      <c r="M151" s="83">
        <f t="shared" si="38"/>
        <v>9020</v>
      </c>
      <c r="N151" s="83">
        <f t="shared" si="38"/>
        <v>7020</v>
      </c>
      <c r="O151" s="83">
        <f t="shared" si="38"/>
        <v>9242</v>
      </c>
      <c r="P151" s="83">
        <f t="shared" si="38"/>
        <v>92411</v>
      </c>
    </row>
    <row r="152" spans="1:17" ht="9" hidden="1" customHeight="1" x14ac:dyDescent="0.25">
      <c r="B152" s="85"/>
      <c r="C152" s="86" t="s">
        <v>196</v>
      </c>
      <c r="D152" s="99">
        <v>5402</v>
      </c>
      <c r="E152" s="99">
        <v>5038</v>
      </c>
      <c r="F152" s="87">
        <v>3699</v>
      </c>
      <c r="G152" s="100">
        <v>6604</v>
      </c>
      <c r="H152" s="87">
        <v>6054</v>
      </c>
      <c r="I152" s="97">
        <v>5011</v>
      </c>
      <c r="J152" s="97">
        <v>6762</v>
      </c>
      <c r="K152" s="87">
        <v>5682</v>
      </c>
      <c r="L152" s="87">
        <v>6414</v>
      </c>
      <c r="M152" s="87">
        <v>6547</v>
      </c>
      <c r="N152" s="87">
        <v>5684</v>
      </c>
      <c r="O152" s="87">
        <v>9096</v>
      </c>
      <c r="P152" s="273">
        <f>SUM(D152:O152)</f>
        <v>71993</v>
      </c>
      <c r="Q152"/>
    </row>
    <row r="153" spans="1:17" ht="8.4" hidden="1" customHeight="1" x14ac:dyDescent="0.25">
      <c r="B153" s="89"/>
      <c r="C153" s="86" t="s">
        <v>197</v>
      </c>
      <c r="D153" s="99">
        <v>41</v>
      </c>
      <c r="E153" s="99">
        <v>2957</v>
      </c>
      <c r="F153" s="99">
        <v>1009</v>
      </c>
      <c r="G153" s="99">
        <v>1819</v>
      </c>
      <c r="H153" s="99">
        <v>2245</v>
      </c>
      <c r="I153" s="99">
        <v>1969</v>
      </c>
      <c r="J153" s="99">
        <v>2224</v>
      </c>
      <c r="K153" s="99">
        <v>2110</v>
      </c>
      <c r="L153" s="99">
        <v>2089</v>
      </c>
      <c r="M153" s="99">
        <v>2473</v>
      </c>
      <c r="N153" s="90">
        <v>1336</v>
      </c>
      <c r="O153" s="90">
        <v>146</v>
      </c>
      <c r="P153" s="273">
        <f>SUM(D153:O153)</f>
        <v>20418</v>
      </c>
      <c r="Q153"/>
    </row>
    <row r="154" spans="1:17" s="16" customFormat="1" ht="13.2" hidden="1" x14ac:dyDescent="0.25"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Q154" s="112"/>
    </row>
    <row r="155" spans="1:17" ht="15" hidden="1" thickBot="1" x14ac:dyDescent="0.3">
      <c r="B155" s="18" t="s">
        <v>163</v>
      </c>
      <c r="C155" s="18"/>
    </row>
    <row r="156" spans="1:17" ht="12.75" hidden="1" customHeight="1" thickBot="1" x14ac:dyDescent="0.3">
      <c r="B156" s="427" t="s">
        <v>1</v>
      </c>
      <c r="C156" s="428"/>
      <c r="D156" s="21">
        <v>1</v>
      </c>
      <c r="E156" s="22">
        <v>2</v>
      </c>
      <c r="F156" s="22">
        <v>3</v>
      </c>
      <c r="G156" s="22">
        <v>4</v>
      </c>
      <c r="H156" s="22">
        <v>5</v>
      </c>
      <c r="I156" s="22">
        <v>6</v>
      </c>
      <c r="J156" s="22">
        <v>7</v>
      </c>
      <c r="K156" s="22">
        <v>8</v>
      </c>
      <c r="L156" s="22" t="s">
        <v>77</v>
      </c>
      <c r="M156" s="22">
        <v>10</v>
      </c>
      <c r="N156" s="22">
        <v>11</v>
      </c>
      <c r="O156" s="22">
        <v>12</v>
      </c>
      <c r="P156" s="23" t="s">
        <v>0</v>
      </c>
    </row>
    <row r="157" spans="1:17" ht="12.75" hidden="1" customHeight="1" x14ac:dyDescent="0.25">
      <c r="B157" s="429" t="s">
        <v>45</v>
      </c>
      <c r="C157" s="175" t="s">
        <v>22</v>
      </c>
      <c r="D157" s="75">
        <v>45</v>
      </c>
      <c r="E157" s="76">
        <v>41</v>
      </c>
      <c r="F157" s="75">
        <v>78</v>
      </c>
      <c r="G157" s="76">
        <v>42</v>
      </c>
      <c r="H157" s="76">
        <v>93</v>
      </c>
      <c r="I157" s="76">
        <v>47</v>
      </c>
      <c r="J157" s="76">
        <v>29</v>
      </c>
      <c r="K157" s="76">
        <v>22</v>
      </c>
      <c r="L157" s="78">
        <v>41</v>
      </c>
      <c r="M157" s="76">
        <v>26</v>
      </c>
      <c r="N157" s="76">
        <v>13</v>
      </c>
      <c r="O157" s="76">
        <v>33</v>
      </c>
      <c r="P157" s="77">
        <f t="shared" ref="P157:P162" si="39">SUM(D157:O157)</f>
        <v>510</v>
      </c>
      <c r="Q157"/>
    </row>
    <row r="158" spans="1:17" ht="12.75" hidden="1" customHeight="1" x14ac:dyDescent="0.25">
      <c r="B158" s="430"/>
      <c r="C158" s="175" t="s">
        <v>24</v>
      </c>
      <c r="D158" s="75">
        <v>6552</v>
      </c>
      <c r="E158" s="75">
        <v>5124</v>
      </c>
      <c r="F158" s="75">
        <v>8454</v>
      </c>
      <c r="G158" s="75">
        <v>7422</v>
      </c>
      <c r="H158" s="75">
        <v>6697</v>
      </c>
      <c r="I158" s="75">
        <v>5973</v>
      </c>
      <c r="J158" s="75">
        <v>5386</v>
      </c>
      <c r="K158" s="75">
        <v>4447</v>
      </c>
      <c r="L158" s="75">
        <v>5217</v>
      </c>
      <c r="M158" s="75">
        <v>3368</v>
      </c>
      <c r="N158" s="75">
        <v>5441</v>
      </c>
      <c r="O158" s="75">
        <v>6955</v>
      </c>
      <c r="P158" s="31">
        <f t="shared" si="39"/>
        <v>71036</v>
      </c>
      <c r="Q158"/>
    </row>
    <row r="159" spans="1:17" ht="12.75" hidden="1" customHeight="1" x14ac:dyDescent="0.25">
      <c r="B159" s="430"/>
      <c r="C159" s="175" t="s">
        <v>68</v>
      </c>
      <c r="D159" s="75">
        <v>0</v>
      </c>
      <c r="E159" s="75">
        <v>1</v>
      </c>
      <c r="F159" s="75">
        <v>0</v>
      </c>
      <c r="G159" s="75">
        <v>0</v>
      </c>
      <c r="H159" s="75">
        <v>0</v>
      </c>
      <c r="I159" s="75">
        <v>0</v>
      </c>
      <c r="J159" s="75">
        <v>0</v>
      </c>
      <c r="K159" s="75">
        <v>0</v>
      </c>
      <c r="L159" s="75">
        <v>0</v>
      </c>
      <c r="M159" s="75">
        <v>0</v>
      </c>
      <c r="N159" s="75">
        <v>0</v>
      </c>
      <c r="O159" s="75">
        <v>0</v>
      </c>
      <c r="P159" s="27">
        <f t="shared" si="39"/>
        <v>1</v>
      </c>
      <c r="Q159"/>
    </row>
    <row r="160" spans="1:17" ht="12.75" hidden="1" customHeight="1" x14ac:dyDescent="0.25">
      <c r="B160" s="430"/>
      <c r="C160" s="176" t="s">
        <v>3</v>
      </c>
      <c r="D160" s="29">
        <v>1</v>
      </c>
      <c r="E160" s="30">
        <v>0</v>
      </c>
      <c r="F160" s="29">
        <v>0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2">
        <v>0</v>
      </c>
      <c r="M160" s="30">
        <v>0</v>
      </c>
      <c r="N160" s="30">
        <v>0</v>
      </c>
      <c r="O160" s="30">
        <v>0</v>
      </c>
      <c r="P160" s="77">
        <f t="shared" si="39"/>
        <v>1</v>
      </c>
      <c r="Q160"/>
    </row>
    <row r="161" spans="1:17" ht="12.75" hidden="1" customHeight="1" x14ac:dyDescent="0.25">
      <c r="B161" s="430"/>
      <c r="C161" s="177" t="s">
        <v>25</v>
      </c>
      <c r="D161" s="73">
        <v>3612</v>
      </c>
      <c r="E161" s="73">
        <v>4186</v>
      </c>
      <c r="F161" s="73">
        <v>6233</v>
      </c>
      <c r="G161" s="73">
        <v>7068</v>
      </c>
      <c r="H161" s="73">
        <v>5131</v>
      </c>
      <c r="I161" s="73">
        <v>6127</v>
      </c>
      <c r="J161" s="73">
        <v>3712</v>
      </c>
      <c r="K161" s="73">
        <v>4686</v>
      </c>
      <c r="L161" s="73">
        <v>5003</v>
      </c>
      <c r="M161" s="73">
        <v>6136</v>
      </c>
      <c r="N161" s="73">
        <v>5179</v>
      </c>
      <c r="O161" s="73">
        <v>6036</v>
      </c>
      <c r="P161" s="77">
        <f t="shared" si="39"/>
        <v>63109</v>
      </c>
      <c r="Q161"/>
    </row>
    <row r="162" spans="1:17" ht="12.75" hidden="1" customHeight="1" x14ac:dyDescent="0.25">
      <c r="B162" s="430"/>
      <c r="C162" s="178" t="s">
        <v>27</v>
      </c>
      <c r="D162" s="71">
        <v>8081</v>
      </c>
      <c r="E162" s="71">
        <v>8563</v>
      </c>
      <c r="F162" s="71">
        <v>9217</v>
      </c>
      <c r="G162" s="71">
        <v>9684</v>
      </c>
      <c r="H162" s="71">
        <v>7802</v>
      </c>
      <c r="I162" s="71">
        <v>9483</v>
      </c>
      <c r="J162" s="71">
        <v>5247</v>
      </c>
      <c r="K162" s="71">
        <v>3685</v>
      </c>
      <c r="L162" s="71">
        <v>3216</v>
      </c>
      <c r="M162" s="71">
        <v>9448</v>
      </c>
      <c r="N162" s="71">
        <v>6918</v>
      </c>
      <c r="O162" s="71">
        <v>7740</v>
      </c>
      <c r="P162" s="77">
        <f t="shared" si="39"/>
        <v>89084</v>
      </c>
      <c r="Q162"/>
    </row>
    <row r="163" spans="1:17" ht="12.75" hidden="1" customHeight="1" thickBot="1" x14ac:dyDescent="0.3">
      <c r="B163" s="431"/>
      <c r="C163" s="180" t="s">
        <v>0</v>
      </c>
      <c r="D163" s="43">
        <f t="shared" ref="D163:P163" si="40">SUM(D157:D162)</f>
        <v>18291</v>
      </c>
      <c r="E163" s="43">
        <f t="shared" si="40"/>
        <v>17915</v>
      </c>
      <c r="F163" s="43">
        <f t="shared" si="40"/>
        <v>23982</v>
      </c>
      <c r="G163" s="43">
        <f t="shared" si="40"/>
        <v>24216</v>
      </c>
      <c r="H163" s="43">
        <f t="shared" si="40"/>
        <v>19723</v>
      </c>
      <c r="I163" s="43">
        <f t="shared" si="40"/>
        <v>21630</v>
      </c>
      <c r="J163" s="43">
        <f t="shared" si="40"/>
        <v>14374</v>
      </c>
      <c r="K163" s="43">
        <f t="shared" si="40"/>
        <v>12840</v>
      </c>
      <c r="L163" s="43">
        <f t="shared" si="40"/>
        <v>13477</v>
      </c>
      <c r="M163" s="43">
        <f t="shared" si="40"/>
        <v>18978</v>
      </c>
      <c r="N163" s="43">
        <f>SUM(N157:N162)</f>
        <v>17551</v>
      </c>
      <c r="O163" s="43">
        <f t="shared" si="40"/>
        <v>20764</v>
      </c>
      <c r="P163" s="44">
        <f t="shared" si="40"/>
        <v>223741</v>
      </c>
      <c r="Q163"/>
    </row>
    <row r="164" spans="1:17" ht="12.75" hidden="1" customHeight="1" x14ac:dyDescent="0.25">
      <c r="B164" s="432" t="s">
        <v>44</v>
      </c>
      <c r="C164" s="174" t="s">
        <v>183</v>
      </c>
      <c r="D164" s="39">
        <v>0</v>
      </c>
      <c r="E164" s="40">
        <v>0</v>
      </c>
      <c r="F164" s="40">
        <v>0</v>
      </c>
      <c r="G164" s="40">
        <v>0</v>
      </c>
      <c r="H164" s="40">
        <v>0</v>
      </c>
      <c r="I164" s="40">
        <v>0</v>
      </c>
      <c r="J164" s="40">
        <v>0</v>
      </c>
      <c r="K164" s="40">
        <v>0</v>
      </c>
      <c r="L164" s="40">
        <v>208</v>
      </c>
      <c r="M164" s="40">
        <v>2506</v>
      </c>
      <c r="N164" s="40">
        <v>3965</v>
      </c>
      <c r="O164" s="40">
        <v>4127</v>
      </c>
      <c r="P164" s="31">
        <f>SUM(D164:O164)</f>
        <v>10806</v>
      </c>
      <c r="Q164"/>
    </row>
    <row r="165" spans="1:17" ht="12.75" hidden="1" customHeight="1" x14ac:dyDescent="0.25">
      <c r="B165" s="433"/>
      <c r="C165" s="176" t="s">
        <v>137</v>
      </c>
      <c r="D165" s="29">
        <v>1069</v>
      </c>
      <c r="E165" s="30">
        <v>1099</v>
      </c>
      <c r="F165" s="30">
        <v>1441</v>
      </c>
      <c r="G165" s="30">
        <v>1224</v>
      </c>
      <c r="H165" s="30">
        <v>1001</v>
      </c>
      <c r="I165" s="30">
        <v>1418</v>
      </c>
      <c r="J165" s="30">
        <v>754</v>
      </c>
      <c r="K165" s="30">
        <v>965</v>
      </c>
      <c r="L165" s="30">
        <v>1163</v>
      </c>
      <c r="M165" s="30">
        <v>1003</v>
      </c>
      <c r="N165" s="30">
        <v>1194</v>
      </c>
      <c r="O165" s="30">
        <v>1165</v>
      </c>
      <c r="P165" s="31">
        <f>SUM(D165:O165)</f>
        <v>13496</v>
      </c>
      <c r="Q165"/>
    </row>
    <row r="166" spans="1:17" ht="12.75" hidden="1" customHeight="1" x14ac:dyDescent="0.25">
      <c r="B166" s="433"/>
      <c r="C166" s="181" t="s">
        <v>113</v>
      </c>
      <c r="D166" s="25">
        <v>1196</v>
      </c>
      <c r="E166" s="26">
        <v>1266</v>
      </c>
      <c r="F166" s="26">
        <v>2175</v>
      </c>
      <c r="G166" s="26">
        <v>1494</v>
      </c>
      <c r="H166" s="26">
        <v>798</v>
      </c>
      <c r="I166" s="26">
        <v>639</v>
      </c>
      <c r="J166" s="26">
        <v>699</v>
      </c>
      <c r="K166" s="26">
        <v>882</v>
      </c>
      <c r="L166" s="26">
        <v>347</v>
      </c>
      <c r="M166" s="26">
        <v>975</v>
      </c>
      <c r="N166" s="26">
        <v>595</v>
      </c>
      <c r="O166" s="26">
        <v>1178</v>
      </c>
      <c r="P166" s="27">
        <f t="shared" ref="P166:P171" si="41">SUM(D166:O166)</f>
        <v>12244</v>
      </c>
      <c r="Q166"/>
    </row>
    <row r="167" spans="1:17" ht="12.75" hidden="1" customHeight="1" x14ac:dyDescent="0.25">
      <c r="A167"/>
      <c r="B167" s="433"/>
      <c r="C167" s="181" t="s">
        <v>59</v>
      </c>
      <c r="D167" s="25">
        <v>6733</v>
      </c>
      <c r="E167" s="26">
        <v>5869</v>
      </c>
      <c r="F167" s="26">
        <v>4985</v>
      </c>
      <c r="G167" s="26">
        <v>4478</v>
      </c>
      <c r="H167" s="26">
        <v>2988</v>
      </c>
      <c r="I167" s="26">
        <v>3338</v>
      </c>
      <c r="J167" s="26">
        <v>3972</v>
      </c>
      <c r="K167" s="26">
        <v>3821</v>
      </c>
      <c r="L167" s="26">
        <v>2093</v>
      </c>
      <c r="M167" s="26">
        <v>2911</v>
      </c>
      <c r="N167" s="26">
        <v>3861</v>
      </c>
      <c r="O167" s="26">
        <v>3327</v>
      </c>
      <c r="P167" s="27">
        <f t="shared" si="41"/>
        <v>48376</v>
      </c>
      <c r="Q167"/>
    </row>
    <row r="168" spans="1:17" ht="12.75" hidden="1" customHeight="1" x14ac:dyDescent="0.25">
      <c r="A168"/>
      <c r="B168" s="433"/>
      <c r="C168" s="181" t="s">
        <v>170</v>
      </c>
      <c r="D168" s="25">
        <v>0</v>
      </c>
      <c r="E168" s="26">
        <v>0</v>
      </c>
      <c r="F168" s="26">
        <v>0</v>
      </c>
      <c r="G168" s="26">
        <v>114</v>
      </c>
      <c r="H168" s="26">
        <v>1919</v>
      </c>
      <c r="I168" s="26">
        <v>3667</v>
      </c>
      <c r="J168" s="26">
        <v>3447</v>
      </c>
      <c r="K168" s="26">
        <v>3337</v>
      </c>
      <c r="L168" s="26">
        <v>2983</v>
      </c>
      <c r="M168" s="26">
        <v>3783</v>
      </c>
      <c r="N168" s="26">
        <v>2228</v>
      </c>
      <c r="O168" s="26">
        <v>1193</v>
      </c>
      <c r="P168" s="31">
        <f t="shared" si="41"/>
        <v>22671</v>
      </c>
      <c r="Q168"/>
    </row>
    <row r="169" spans="1:17" ht="12.75" hidden="1" customHeight="1" x14ac:dyDescent="0.25">
      <c r="A169"/>
      <c r="B169" s="433"/>
      <c r="C169" s="181" t="s">
        <v>124</v>
      </c>
      <c r="D169" s="25">
        <v>142</v>
      </c>
      <c r="E169" s="26">
        <v>568</v>
      </c>
      <c r="F169" s="26">
        <v>934</v>
      </c>
      <c r="G169" s="26">
        <v>1265</v>
      </c>
      <c r="H169" s="26">
        <v>756</v>
      </c>
      <c r="I169" s="26">
        <v>751</v>
      </c>
      <c r="J169" s="26">
        <v>490</v>
      </c>
      <c r="K169" s="26">
        <v>556</v>
      </c>
      <c r="L169" s="26">
        <v>939</v>
      </c>
      <c r="M169" s="26">
        <v>940</v>
      </c>
      <c r="N169" s="26">
        <v>865</v>
      </c>
      <c r="O169" s="26">
        <v>296</v>
      </c>
      <c r="P169" s="197">
        <f t="shared" si="41"/>
        <v>8502</v>
      </c>
      <c r="Q169"/>
    </row>
    <row r="170" spans="1:17" ht="12.75" hidden="1" customHeight="1" x14ac:dyDescent="0.25">
      <c r="A170"/>
      <c r="B170" s="433"/>
      <c r="C170" s="176" t="s">
        <v>8</v>
      </c>
      <c r="D170" s="29">
        <v>4313</v>
      </c>
      <c r="E170" s="30">
        <v>2781</v>
      </c>
      <c r="F170" s="30">
        <v>4274</v>
      </c>
      <c r="G170" s="30">
        <v>4096</v>
      </c>
      <c r="H170" s="30">
        <v>3479</v>
      </c>
      <c r="I170" s="30">
        <v>2780</v>
      </c>
      <c r="J170" s="30">
        <v>4452</v>
      </c>
      <c r="K170" s="30">
        <v>3322</v>
      </c>
      <c r="L170" s="30">
        <v>2189</v>
      </c>
      <c r="M170" s="30">
        <v>3494</v>
      </c>
      <c r="N170" s="30">
        <v>2895</v>
      </c>
      <c r="O170" s="30">
        <v>3525</v>
      </c>
      <c r="P170" s="77">
        <f t="shared" si="41"/>
        <v>41600</v>
      </c>
      <c r="Q170"/>
    </row>
    <row r="171" spans="1:17" ht="12.75" hidden="1" customHeight="1" x14ac:dyDescent="0.25">
      <c r="A171"/>
      <c r="B171" s="433"/>
      <c r="C171" s="176" t="s">
        <v>133</v>
      </c>
      <c r="D171" s="29">
        <v>3818</v>
      </c>
      <c r="E171" s="30">
        <v>4045</v>
      </c>
      <c r="F171" s="30">
        <v>5897</v>
      </c>
      <c r="G171" s="30">
        <v>5777</v>
      </c>
      <c r="H171" s="30">
        <v>5040</v>
      </c>
      <c r="I171" s="30">
        <v>4964</v>
      </c>
      <c r="J171" s="30">
        <v>4695</v>
      </c>
      <c r="K171" s="30">
        <v>4011</v>
      </c>
      <c r="L171" s="30">
        <v>3290</v>
      </c>
      <c r="M171" s="30">
        <v>2582</v>
      </c>
      <c r="N171" s="30">
        <v>4503</v>
      </c>
      <c r="O171" s="30">
        <v>3716</v>
      </c>
      <c r="P171" s="31">
        <f t="shared" si="41"/>
        <v>52338</v>
      </c>
      <c r="Q171"/>
    </row>
    <row r="172" spans="1:17" ht="12.75" hidden="1" customHeight="1" thickBot="1" x14ac:dyDescent="0.3">
      <c r="A172"/>
      <c r="B172" s="434"/>
      <c r="C172" s="182" t="s">
        <v>0</v>
      </c>
      <c r="D172" s="36">
        <f t="shared" ref="D172:P172" si="42">SUM(D164:D171)</f>
        <v>17271</v>
      </c>
      <c r="E172" s="36">
        <f t="shared" si="42"/>
        <v>15628</v>
      </c>
      <c r="F172" s="36">
        <f t="shared" si="42"/>
        <v>19706</v>
      </c>
      <c r="G172" s="36">
        <f t="shared" si="42"/>
        <v>18448</v>
      </c>
      <c r="H172" s="36">
        <f t="shared" si="42"/>
        <v>15981</v>
      </c>
      <c r="I172" s="36">
        <f t="shared" si="42"/>
        <v>17557</v>
      </c>
      <c r="J172" s="36">
        <f t="shared" si="42"/>
        <v>18509</v>
      </c>
      <c r="K172" s="36">
        <f t="shared" si="42"/>
        <v>16894</v>
      </c>
      <c r="L172" s="36">
        <f t="shared" si="42"/>
        <v>13212</v>
      </c>
      <c r="M172" s="36">
        <f t="shared" si="42"/>
        <v>18194</v>
      </c>
      <c r="N172" s="36">
        <f t="shared" si="42"/>
        <v>20106</v>
      </c>
      <c r="O172" s="36">
        <f t="shared" si="42"/>
        <v>18527</v>
      </c>
      <c r="P172" s="37">
        <f t="shared" si="42"/>
        <v>210033</v>
      </c>
      <c r="Q172"/>
    </row>
    <row r="173" spans="1:17" ht="12.75" hidden="1" customHeight="1" x14ac:dyDescent="0.25">
      <c r="A173"/>
      <c r="B173" s="429" t="s">
        <v>9</v>
      </c>
      <c r="C173" s="174" t="s">
        <v>11</v>
      </c>
      <c r="D173" s="39">
        <v>2290</v>
      </c>
      <c r="E173" s="40">
        <v>1368</v>
      </c>
      <c r="F173" s="40">
        <v>1891</v>
      </c>
      <c r="G173" s="40">
        <v>1200</v>
      </c>
      <c r="H173" s="40">
        <v>344</v>
      </c>
      <c r="I173" s="40">
        <v>99</v>
      </c>
      <c r="J173" s="40">
        <v>0</v>
      </c>
      <c r="K173" s="40">
        <v>0</v>
      </c>
      <c r="L173" s="40">
        <v>0</v>
      </c>
      <c r="M173" s="40">
        <v>0</v>
      </c>
      <c r="N173" s="40">
        <v>0</v>
      </c>
      <c r="O173" s="40">
        <v>0</v>
      </c>
      <c r="P173" s="41">
        <f>SUM(D173:O173)</f>
        <v>7192</v>
      </c>
      <c r="Q173"/>
    </row>
    <row r="174" spans="1:17" ht="12.75" hidden="1" customHeight="1" x14ac:dyDescent="0.25">
      <c r="A174"/>
      <c r="B174" s="430"/>
      <c r="C174" s="181" t="s">
        <v>171</v>
      </c>
      <c r="D174" s="25">
        <v>0</v>
      </c>
      <c r="E174" s="26">
        <v>0</v>
      </c>
      <c r="F174" s="26">
        <v>0</v>
      </c>
      <c r="G174" s="26">
        <v>158</v>
      </c>
      <c r="H174" s="26">
        <v>3232</v>
      </c>
      <c r="I174" s="26">
        <v>4304</v>
      </c>
      <c r="J174" s="26">
        <v>4018</v>
      </c>
      <c r="K174" s="26">
        <v>3563</v>
      </c>
      <c r="L174" s="26">
        <v>2903</v>
      </c>
      <c r="M174" s="26">
        <v>2775</v>
      </c>
      <c r="N174" s="26">
        <v>3031</v>
      </c>
      <c r="O174" s="26">
        <v>2256</v>
      </c>
      <c r="P174" s="27">
        <f>SUM(D174:O174)</f>
        <v>26240</v>
      </c>
      <c r="Q174"/>
    </row>
    <row r="175" spans="1:17" ht="12.75" hidden="1" customHeight="1" x14ac:dyDescent="0.25">
      <c r="A175"/>
      <c r="B175" s="430"/>
      <c r="C175" s="181" t="s">
        <v>12</v>
      </c>
      <c r="D175" s="25">
        <v>7952</v>
      </c>
      <c r="E175" s="26">
        <v>7626</v>
      </c>
      <c r="F175" s="26">
        <v>11213</v>
      </c>
      <c r="G175" s="26">
        <v>9182</v>
      </c>
      <c r="H175" s="26">
        <v>6930</v>
      </c>
      <c r="I175" s="26">
        <v>9208</v>
      </c>
      <c r="J175" s="26">
        <v>8804</v>
      </c>
      <c r="K175" s="26">
        <v>7424</v>
      </c>
      <c r="L175" s="26">
        <v>4916</v>
      </c>
      <c r="M175" s="26">
        <v>4042</v>
      </c>
      <c r="N175" s="26">
        <v>7288</v>
      </c>
      <c r="O175" s="26">
        <v>7633</v>
      </c>
      <c r="P175" s="27">
        <f>SUM(D175:O175)</f>
        <v>92218</v>
      </c>
      <c r="Q175"/>
    </row>
    <row r="176" spans="1:17" ht="12.75" hidden="1" customHeight="1" thickBot="1" x14ac:dyDescent="0.3">
      <c r="A176"/>
      <c r="B176" s="431"/>
      <c r="C176" s="180" t="s">
        <v>0</v>
      </c>
      <c r="D176" s="43">
        <f t="shared" ref="D176:L176" si="43">SUM(D173:D175)</f>
        <v>10242</v>
      </c>
      <c r="E176" s="43">
        <f t="shared" si="43"/>
        <v>8994</v>
      </c>
      <c r="F176" s="43">
        <f t="shared" si="43"/>
        <v>13104</v>
      </c>
      <c r="G176" s="43">
        <f t="shared" si="43"/>
        <v>10540</v>
      </c>
      <c r="H176" s="43">
        <f t="shared" si="43"/>
        <v>10506</v>
      </c>
      <c r="I176" s="43">
        <f t="shared" si="43"/>
        <v>13611</v>
      </c>
      <c r="J176" s="43">
        <f t="shared" si="43"/>
        <v>12822</v>
      </c>
      <c r="K176" s="43">
        <f t="shared" si="43"/>
        <v>10987</v>
      </c>
      <c r="L176" s="43">
        <f t="shared" si="43"/>
        <v>7819</v>
      </c>
      <c r="M176" s="43">
        <f>SUM(M173:M175)</f>
        <v>6817</v>
      </c>
      <c r="N176" s="43">
        <f>SUM(N173:N175)</f>
        <v>10319</v>
      </c>
      <c r="O176" s="43">
        <f>SUM(O173:O175)</f>
        <v>9889</v>
      </c>
      <c r="P176" s="44">
        <f>SUM(P173:P175)</f>
        <v>125650</v>
      </c>
      <c r="Q176"/>
    </row>
    <row r="177" spans="1:18" ht="12.75" hidden="1" customHeight="1" x14ac:dyDescent="0.25">
      <c r="A177"/>
      <c r="B177" s="429" t="s">
        <v>10</v>
      </c>
      <c r="C177" s="174" t="s">
        <v>13</v>
      </c>
      <c r="D177" s="39">
        <v>291</v>
      </c>
      <c r="E177" s="40">
        <v>475</v>
      </c>
      <c r="F177" s="40">
        <v>468</v>
      </c>
      <c r="G177" s="40">
        <v>557</v>
      </c>
      <c r="H177" s="40">
        <v>506</v>
      </c>
      <c r="I177" s="40">
        <f>211+46+177+70</f>
        <v>504</v>
      </c>
      <c r="J177" s="40">
        <v>381</v>
      </c>
      <c r="K177" s="40">
        <v>284</v>
      </c>
      <c r="L177" s="40">
        <v>367</v>
      </c>
      <c r="M177" s="40">
        <v>505</v>
      </c>
      <c r="N177" s="40">
        <v>572</v>
      </c>
      <c r="O177" s="40">
        <v>480</v>
      </c>
      <c r="P177" s="41">
        <f>SUM(D177:O177)</f>
        <v>5390</v>
      </c>
      <c r="Q177"/>
    </row>
    <row r="178" spans="1:18" ht="12.75" hidden="1" customHeight="1" x14ac:dyDescent="0.25">
      <c r="A178"/>
      <c r="B178" s="430"/>
      <c r="C178" s="181" t="s">
        <v>14</v>
      </c>
      <c r="D178" s="25">
        <v>1909</v>
      </c>
      <c r="E178" s="26">
        <v>1769</v>
      </c>
      <c r="F178" s="26">
        <v>2484</v>
      </c>
      <c r="G178" s="26">
        <v>2568</v>
      </c>
      <c r="H178" s="26">
        <v>2309</v>
      </c>
      <c r="I178" s="26">
        <f>916+440+400+444</f>
        <v>2200</v>
      </c>
      <c r="J178" s="26">
        <v>1820</v>
      </c>
      <c r="K178" s="26">
        <v>1722</v>
      </c>
      <c r="L178" s="26">
        <v>1349</v>
      </c>
      <c r="M178" s="26">
        <v>1791</v>
      </c>
      <c r="N178" s="26">
        <v>1767</v>
      </c>
      <c r="O178" s="26">
        <v>1580</v>
      </c>
      <c r="P178" s="27">
        <f>SUM(D178:O178)</f>
        <v>23268</v>
      </c>
      <c r="Q178"/>
    </row>
    <row r="179" spans="1:18" ht="12.75" hidden="1" customHeight="1" thickBot="1" x14ac:dyDescent="0.3">
      <c r="A179"/>
      <c r="B179" s="431"/>
      <c r="C179" s="180" t="s">
        <v>0</v>
      </c>
      <c r="D179" s="43">
        <f t="shared" ref="D179:I179" si="44">SUM(D177:D178)</f>
        <v>2200</v>
      </c>
      <c r="E179" s="43">
        <f t="shared" si="44"/>
        <v>2244</v>
      </c>
      <c r="F179" s="43">
        <f t="shared" si="44"/>
        <v>2952</v>
      </c>
      <c r="G179" s="43">
        <f t="shared" si="44"/>
        <v>3125</v>
      </c>
      <c r="H179" s="43">
        <f t="shared" si="44"/>
        <v>2815</v>
      </c>
      <c r="I179" s="43">
        <f t="shared" si="44"/>
        <v>2704</v>
      </c>
      <c r="J179" s="43">
        <f>SUM(J177:J178)</f>
        <v>2201</v>
      </c>
      <c r="K179" s="43">
        <f t="shared" ref="K179:P179" si="45">SUM(K177:K178)</f>
        <v>2006</v>
      </c>
      <c r="L179" s="43">
        <f t="shared" si="45"/>
        <v>1716</v>
      </c>
      <c r="M179" s="43">
        <f t="shared" si="45"/>
        <v>2296</v>
      </c>
      <c r="N179" s="43">
        <f t="shared" si="45"/>
        <v>2339</v>
      </c>
      <c r="O179" s="43">
        <f t="shared" si="45"/>
        <v>2060</v>
      </c>
      <c r="P179" s="44">
        <f t="shared" si="45"/>
        <v>28658</v>
      </c>
      <c r="Q179"/>
    </row>
    <row r="180" spans="1:18" ht="12.75" hidden="1" customHeight="1" x14ac:dyDescent="0.25">
      <c r="A180"/>
      <c r="B180" s="424" t="s">
        <v>4</v>
      </c>
      <c r="C180" s="183" t="s">
        <v>115</v>
      </c>
      <c r="D180" s="155">
        <v>1001</v>
      </c>
      <c r="E180" s="155">
        <v>297</v>
      </c>
      <c r="F180" s="155">
        <v>654</v>
      </c>
      <c r="G180" s="155">
        <v>625</v>
      </c>
      <c r="H180" s="155">
        <v>918</v>
      </c>
      <c r="I180" s="155">
        <v>942</v>
      </c>
      <c r="J180" s="155">
        <v>616</v>
      </c>
      <c r="K180" s="155">
        <v>580</v>
      </c>
      <c r="L180" s="155">
        <v>385</v>
      </c>
      <c r="M180" s="155">
        <v>372</v>
      </c>
      <c r="N180" s="155">
        <v>552</v>
      </c>
      <c r="O180" s="155">
        <v>487</v>
      </c>
      <c r="P180" s="156">
        <f t="shared" ref="P180:P185" si="46">SUM(D180:O180)</f>
        <v>7429</v>
      </c>
      <c r="Q180"/>
    </row>
    <row r="181" spans="1:18" ht="12.75" hidden="1" customHeight="1" x14ac:dyDescent="0.25">
      <c r="A181"/>
      <c r="B181" s="425"/>
      <c r="C181" s="184" t="s">
        <v>117</v>
      </c>
      <c r="D181" s="131">
        <v>5650</v>
      </c>
      <c r="E181" s="131">
        <v>2714</v>
      </c>
      <c r="F181" s="131">
        <v>5252</v>
      </c>
      <c r="G181" s="131">
        <v>6009</v>
      </c>
      <c r="H181" s="131">
        <v>5584</v>
      </c>
      <c r="I181" s="131">
        <v>5357</v>
      </c>
      <c r="J181" s="131">
        <v>5028</v>
      </c>
      <c r="K181" s="131">
        <v>3718</v>
      </c>
      <c r="L181" s="131">
        <v>3892</v>
      </c>
      <c r="M181" s="131">
        <v>6119</v>
      </c>
      <c r="N181" s="131">
        <v>3946</v>
      </c>
      <c r="O181" s="131">
        <v>6194</v>
      </c>
      <c r="P181" s="132">
        <f t="shared" si="46"/>
        <v>59463</v>
      </c>
      <c r="Q181"/>
    </row>
    <row r="182" spans="1:18" ht="12.75" hidden="1" customHeight="1" x14ac:dyDescent="0.25">
      <c r="A182"/>
      <c r="B182" s="425"/>
      <c r="C182" s="176" t="s">
        <v>131</v>
      </c>
      <c r="D182" s="29">
        <v>594</v>
      </c>
      <c r="E182" s="30">
        <v>434</v>
      </c>
      <c r="F182" s="30">
        <v>597</v>
      </c>
      <c r="G182" s="30">
        <v>774</v>
      </c>
      <c r="H182" s="30">
        <v>662</v>
      </c>
      <c r="I182" s="30">
        <v>398</v>
      </c>
      <c r="J182" s="30">
        <v>355</v>
      </c>
      <c r="K182" s="30">
        <v>203</v>
      </c>
      <c r="L182" s="30">
        <v>261</v>
      </c>
      <c r="M182" s="30">
        <v>270</v>
      </c>
      <c r="N182" s="30">
        <v>240</v>
      </c>
      <c r="O182" s="30">
        <v>301</v>
      </c>
      <c r="P182" s="31">
        <f t="shared" si="46"/>
        <v>5089</v>
      </c>
      <c r="Q182"/>
    </row>
    <row r="183" spans="1:18" ht="12.75" hidden="1" customHeight="1" x14ac:dyDescent="0.25">
      <c r="A183"/>
      <c r="B183" s="425"/>
      <c r="C183" s="176" t="s">
        <v>186</v>
      </c>
      <c r="D183" s="29">
        <v>0</v>
      </c>
      <c r="E183" s="30">
        <v>0</v>
      </c>
      <c r="F183" s="30">
        <v>0</v>
      </c>
      <c r="G183" s="30">
        <v>0</v>
      </c>
      <c r="H183" s="30">
        <v>0</v>
      </c>
      <c r="I183" s="30">
        <v>0</v>
      </c>
      <c r="J183" s="30">
        <v>0</v>
      </c>
      <c r="K183" s="30">
        <v>0</v>
      </c>
      <c r="L183" s="30">
        <v>0</v>
      </c>
      <c r="M183" s="30">
        <v>47</v>
      </c>
      <c r="N183" s="30">
        <v>406</v>
      </c>
      <c r="O183" s="30">
        <v>737</v>
      </c>
      <c r="P183" s="31">
        <f t="shared" si="46"/>
        <v>1190</v>
      </c>
      <c r="Q183"/>
    </row>
    <row r="184" spans="1:18" ht="12.75" hidden="1" customHeight="1" x14ac:dyDescent="0.25">
      <c r="A184"/>
      <c r="B184" s="425"/>
      <c r="C184" s="176" t="s">
        <v>161</v>
      </c>
      <c r="D184" s="29">
        <v>2287</v>
      </c>
      <c r="E184" s="30">
        <v>2686</v>
      </c>
      <c r="F184" s="30">
        <v>5093</v>
      </c>
      <c r="G184" s="30">
        <v>4161</v>
      </c>
      <c r="H184" s="30">
        <v>4336</v>
      </c>
      <c r="I184" s="30">
        <v>4138</v>
      </c>
      <c r="J184" s="30">
        <v>3792</v>
      </c>
      <c r="K184" s="30">
        <v>2575</v>
      </c>
      <c r="L184" s="30">
        <v>1805</v>
      </c>
      <c r="M184" s="30">
        <v>2892</v>
      </c>
      <c r="N184" s="30">
        <v>3379</v>
      </c>
      <c r="O184" s="30">
        <v>3850</v>
      </c>
      <c r="P184" s="31">
        <f t="shared" si="46"/>
        <v>40994</v>
      </c>
      <c r="Q184"/>
    </row>
    <row r="185" spans="1:18" ht="12.75" hidden="1" customHeight="1" x14ac:dyDescent="0.25">
      <c r="A185"/>
      <c r="B185" s="425"/>
      <c r="C185" s="176" t="s">
        <v>148</v>
      </c>
      <c r="D185" s="29">
        <v>1965</v>
      </c>
      <c r="E185" s="30">
        <v>1190</v>
      </c>
      <c r="F185" s="30">
        <v>2470</v>
      </c>
      <c r="G185" s="30">
        <v>2321</v>
      </c>
      <c r="H185" s="30">
        <v>1531</v>
      </c>
      <c r="I185" s="30">
        <v>2070</v>
      </c>
      <c r="J185" s="30">
        <v>2159</v>
      </c>
      <c r="K185" s="30">
        <v>1231</v>
      </c>
      <c r="L185" s="30">
        <v>1290</v>
      </c>
      <c r="M185" s="30">
        <v>1828</v>
      </c>
      <c r="N185" s="30">
        <v>3233</v>
      </c>
      <c r="O185" s="30">
        <v>3303</v>
      </c>
      <c r="P185" s="31">
        <f t="shared" si="46"/>
        <v>24591</v>
      </c>
      <c r="Q185"/>
    </row>
    <row r="186" spans="1:18" ht="12.75" hidden="1" customHeight="1" thickBot="1" x14ac:dyDescent="0.3">
      <c r="A186"/>
      <c r="B186" s="426"/>
      <c r="C186" s="42" t="s">
        <v>0</v>
      </c>
      <c r="D186" s="43">
        <f>SUM(D180:D185)</f>
        <v>11497</v>
      </c>
      <c r="E186" s="43">
        <f t="shared" ref="E186:P186" si="47">SUM(E180:E185)</f>
        <v>7321</v>
      </c>
      <c r="F186" s="43">
        <f t="shared" si="47"/>
        <v>14066</v>
      </c>
      <c r="G186" s="43">
        <f t="shared" si="47"/>
        <v>13890</v>
      </c>
      <c r="H186" s="43">
        <f t="shared" si="47"/>
        <v>13031</v>
      </c>
      <c r="I186" s="43">
        <f t="shared" si="47"/>
        <v>12905</v>
      </c>
      <c r="J186" s="43">
        <f t="shared" si="47"/>
        <v>11950</v>
      </c>
      <c r="K186" s="43">
        <f t="shared" si="47"/>
        <v>8307</v>
      </c>
      <c r="L186" s="43">
        <f t="shared" si="47"/>
        <v>7633</v>
      </c>
      <c r="M186" s="43">
        <f t="shared" si="47"/>
        <v>11528</v>
      </c>
      <c r="N186" s="43">
        <f t="shared" si="47"/>
        <v>11756</v>
      </c>
      <c r="O186" s="43">
        <f t="shared" si="47"/>
        <v>14872</v>
      </c>
      <c r="P186" s="43">
        <f t="shared" si="47"/>
        <v>138756</v>
      </c>
      <c r="Q186"/>
    </row>
    <row r="187" spans="1:18" ht="12.75" hidden="1" customHeight="1" thickBot="1" x14ac:dyDescent="0.3">
      <c r="A187"/>
      <c r="B187" s="440" t="s">
        <v>2</v>
      </c>
      <c r="C187" s="441"/>
      <c r="D187" s="45">
        <f t="shared" ref="D187:O187" si="48">D163+D172+D179+D176+D186</f>
        <v>59501</v>
      </c>
      <c r="E187" s="45">
        <f t="shared" si="48"/>
        <v>52102</v>
      </c>
      <c r="F187" s="45">
        <f t="shared" si="48"/>
        <v>73810</v>
      </c>
      <c r="G187" s="45">
        <f t="shared" si="48"/>
        <v>70219</v>
      </c>
      <c r="H187" s="45">
        <f t="shared" si="48"/>
        <v>62056</v>
      </c>
      <c r="I187" s="45">
        <f t="shared" si="48"/>
        <v>68407</v>
      </c>
      <c r="J187" s="45">
        <f t="shared" si="48"/>
        <v>59856</v>
      </c>
      <c r="K187" s="45">
        <f t="shared" si="48"/>
        <v>51034</v>
      </c>
      <c r="L187" s="45">
        <f t="shared" si="48"/>
        <v>43857</v>
      </c>
      <c r="M187" s="45">
        <f t="shared" si="48"/>
        <v>57813</v>
      </c>
      <c r="N187" s="45">
        <f t="shared" si="48"/>
        <v>62071</v>
      </c>
      <c r="O187" s="45">
        <f t="shared" si="48"/>
        <v>66112</v>
      </c>
      <c r="P187" s="45">
        <f>SUM(P163,P172,P186,P176,P179)</f>
        <v>726838</v>
      </c>
      <c r="Q187"/>
    </row>
    <row r="188" spans="1:18" ht="4.5" hidden="1" customHeight="1" x14ac:dyDescent="0.25">
      <c r="A188"/>
      <c r="J188" s="115"/>
      <c r="Q188"/>
    </row>
    <row r="189" spans="1:18" ht="9.6" hidden="1" customHeight="1" x14ac:dyDescent="0.25">
      <c r="A189"/>
      <c r="B189" s="81" t="s">
        <v>24</v>
      </c>
      <c r="C189" s="82"/>
      <c r="D189" s="83">
        <f t="shared" ref="D189:I189" si="49">SUM(D190:D191)</f>
        <v>6552</v>
      </c>
      <c r="E189" s="83">
        <f t="shared" si="49"/>
        <v>5124</v>
      </c>
      <c r="F189" s="83">
        <f t="shared" si="49"/>
        <v>8454</v>
      </c>
      <c r="G189" s="83">
        <f t="shared" si="49"/>
        <v>7422</v>
      </c>
      <c r="H189" s="83">
        <f t="shared" si="49"/>
        <v>6697</v>
      </c>
      <c r="I189" s="83">
        <f t="shared" si="49"/>
        <v>5973</v>
      </c>
      <c r="J189" s="83">
        <f>SUM(J190:J191,J192)</f>
        <v>5386</v>
      </c>
      <c r="K189" s="83">
        <f>SUM(K190:K192)</f>
        <v>4447</v>
      </c>
      <c r="L189" s="83">
        <f>SUM(L190:L192)</f>
        <v>5217</v>
      </c>
      <c r="M189" s="83">
        <f>SUM(M190:M192)</f>
        <v>3368</v>
      </c>
      <c r="N189" s="83">
        <f>SUM(N190:N192)</f>
        <v>5441</v>
      </c>
      <c r="O189" s="83">
        <f>SUM(O190:O192)</f>
        <v>6955</v>
      </c>
      <c r="P189" s="84">
        <f>SUM(D189:O189)</f>
        <v>71036</v>
      </c>
      <c r="R189" s="278"/>
    </row>
    <row r="190" spans="1:18" ht="9.75" hidden="1" customHeight="1" x14ac:dyDescent="0.25">
      <c r="A190"/>
      <c r="B190" s="85"/>
      <c r="C190" s="86" t="s">
        <v>153</v>
      </c>
      <c r="D190" s="99">
        <v>6104</v>
      </c>
      <c r="E190" s="99">
        <v>4725</v>
      </c>
      <c r="F190" s="87">
        <v>7681</v>
      </c>
      <c r="G190" s="100">
        <v>6666</v>
      </c>
      <c r="H190" s="87">
        <v>6168</v>
      </c>
      <c r="I190" s="97">
        <v>5167</v>
      </c>
      <c r="J190" s="98">
        <v>4692</v>
      </c>
      <c r="K190" s="90">
        <v>3950</v>
      </c>
      <c r="L190" s="90">
        <v>4352</v>
      </c>
      <c r="M190" s="90">
        <v>2978</v>
      </c>
      <c r="N190" s="90">
        <v>4847</v>
      </c>
      <c r="O190" s="90">
        <v>5969</v>
      </c>
      <c r="P190" s="88">
        <f>SUM(D190:O190)</f>
        <v>63299</v>
      </c>
    </row>
    <row r="191" spans="1:18" ht="9.75" hidden="1" customHeight="1" x14ac:dyDescent="0.25">
      <c r="A191"/>
      <c r="B191" s="85"/>
      <c r="C191" s="86" t="s">
        <v>154</v>
      </c>
      <c r="D191" s="87">
        <v>448</v>
      </c>
      <c r="E191" s="87">
        <v>399</v>
      </c>
      <c r="F191" s="87">
        <v>773</v>
      </c>
      <c r="G191" s="87">
        <v>756</v>
      </c>
      <c r="H191" s="87">
        <v>529</v>
      </c>
      <c r="I191" s="87">
        <v>806</v>
      </c>
      <c r="J191" s="87">
        <v>665</v>
      </c>
      <c r="K191" s="87">
        <v>385</v>
      </c>
      <c r="L191" s="87">
        <v>325</v>
      </c>
      <c r="M191" s="87">
        <v>227</v>
      </c>
      <c r="N191" s="87">
        <v>501</v>
      </c>
      <c r="O191" s="87">
        <v>798</v>
      </c>
      <c r="P191" s="88">
        <f>SUM(D191:O191)</f>
        <v>6612</v>
      </c>
    </row>
    <row r="192" spans="1:18" ht="9.75" hidden="1" customHeight="1" x14ac:dyDescent="0.25">
      <c r="A192"/>
      <c r="B192" s="89"/>
      <c r="C192" s="86" t="s">
        <v>176</v>
      </c>
      <c r="D192" s="87">
        <v>0</v>
      </c>
      <c r="E192" s="87">
        <v>0</v>
      </c>
      <c r="F192" s="87">
        <v>0</v>
      </c>
      <c r="G192" s="87">
        <v>0</v>
      </c>
      <c r="H192" s="87">
        <v>0</v>
      </c>
      <c r="I192" s="87">
        <v>0</v>
      </c>
      <c r="J192" s="87">
        <v>29</v>
      </c>
      <c r="K192" s="87">
        <v>112</v>
      </c>
      <c r="L192" s="87">
        <v>540</v>
      </c>
      <c r="M192" s="87">
        <v>163</v>
      </c>
      <c r="N192" s="87">
        <v>93</v>
      </c>
      <c r="O192" s="87">
        <v>188</v>
      </c>
      <c r="P192" s="88">
        <f>SUM(D192:O192)</f>
        <v>1125</v>
      </c>
    </row>
    <row r="193" spans="1:17" ht="4.5" hidden="1" customHeight="1" x14ac:dyDescent="0.25">
      <c r="A193"/>
      <c r="J193" s="115"/>
      <c r="Q193"/>
    </row>
    <row r="194" spans="1:17" ht="10.199999999999999" hidden="1" customHeight="1" x14ac:dyDescent="0.25">
      <c r="A194"/>
      <c r="B194" s="92" t="s">
        <v>25</v>
      </c>
      <c r="C194" s="93"/>
      <c r="D194" s="83">
        <f t="shared" ref="D194:O194" si="50">SUM(D195:D197)</f>
        <v>3612</v>
      </c>
      <c r="E194" s="83">
        <f t="shared" si="50"/>
        <v>4186</v>
      </c>
      <c r="F194" s="83">
        <f t="shared" si="50"/>
        <v>6233</v>
      </c>
      <c r="G194" s="83">
        <f t="shared" si="50"/>
        <v>7068</v>
      </c>
      <c r="H194" s="83">
        <f t="shared" si="50"/>
        <v>5131</v>
      </c>
      <c r="I194" s="83">
        <f t="shared" si="50"/>
        <v>6127</v>
      </c>
      <c r="J194" s="83">
        <f t="shared" si="50"/>
        <v>3712</v>
      </c>
      <c r="K194" s="83">
        <f t="shared" si="50"/>
        <v>4686</v>
      </c>
      <c r="L194" s="83">
        <f t="shared" si="50"/>
        <v>5003</v>
      </c>
      <c r="M194" s="83">
        <f t="shared" si="50"/>
        <v>6136</v>
      </c>
      <c r="N194" s="83">
        <f t="shared" si="50"/>
        <v>5179</v>
      </c>
      <c r="O194" s="83">
        <f t="shared" si="50"/>
        <v>6036</v>
      </c>
      <c r="P194" s="83">
        <f>SUM(D194:O194)</f>
        <v>63109</v>
      </c>
    </row>
    <row r="195" spans="1:17" ht="9.9" hidden="1" customHeight="1" x14ac:dyDescent="0.25">
      <c r="A195"/>
      <c r="B195" s="85"/>
      <c r="C195" s="86" t="s">
        <v>52</v>
      </c>
      <c r="D195" s="122">
        <v>1118</v>
      </c>
      <c r="E195" s="122">
        <v>1254</v>
      </c>
      <c r="F195" s="122">
        <v>2006</v>
      </c>
      <c r="G195" s="87">
        <v>1928</v>
      </c>
      <c r="H195" s="87">
        <v>1078</v>
      </c>
      <c r="I195" s="87">
        <v>2353</v>
      </c>
      <c r="J195" s="87">
        <v>827</v>
      </c>
      <c r="K195" s="87">
        <v>850</v>
      </c>
      <c r="L195" s="87">
        <v>1428</v>
      </c>
      <c r="M195" s="87">
        <v>2116</v>
      </c>
      <c r="N195" s="87">
        <v>330</v>
      </c>
      <c r="O195" s="87">
        <v>1988</v>
      </c>
      <c r="P195" s="88">
        <f>SUM(D195:O195)</f>
        <v>17276</v>
      </c>
    </row>
    <row r="196" spans="1:17" ht="9.9" hidden="1" customHeight="1" x14ac:dyDescent="0.25">
      <c r="A196"/>
      <c r="B196" s="85"/>
      <c r="C196" s="86" t="s">
        <v>136</v>
      </c>
      <c r="D196" s="87">
        <v>2114</v>
      </c>
      <c r="E196" s="87">
        <v>2316</v>
      </c>
      <c r="F196" s="87">
        <v>3806</v>
      </c>
      <c r="G196" s="87">
        <v>4598</v>
      </c>
      <c r="H196" s="87">
        <v>3538</v>
      </c>
      <c r="I196" s="87">
        <v>3112</v>
      </c>
      <c r="J196" s="87">
        <v>2348</v>
      </c>
      <c r="K196" s="87">
        <v>3173</v>
      </c>
      <c r="L196" s="87">
        <v>3063</v>
      </c>
      <c r="M196" s="87">
        <v>3394</v>
      </c>
      <c r="N196" s="87">
        <v>3794</v>
      </c>
      <c r="O196" s="87">
        <v>3141</v>
      </c>
      <c r="P196" s="88">
        <f>SUM(D196:O196)</f>
        <v>38397</v>
      </c>
    </row>
    <row r="197" spans="1:17" ht="9.9" hidden="1" customHeight="1" x14ac:dyDescent="0.25">
      <c r="A197"/>
      <c r="B197" s="89"/>
      <c r="C197" s="86" t="s">
        <v>139</v>
      </c>
      <c r="D197" s="87">
        <v>380</v>
      </c>
      <c r="E197" s="87">
        <v>616</v>
      </c>
      <c r="F197" s="87">
        <v>421</v>
      </c>
      <c r="G197" s="87">
        <v>542</v>
      </c>
      <c r="H197" s="87">
        <v>515</v>
      </c>
      <c r="I197" s="87">
        <v>662</v>
      </c>
      <c r="J197" s="87">
        <v>537</v>
      </c>
      <c r="K197" s="87">
        <v>663</v>
      </c>
      <c r="L197" s="87">
        <v>512</v>
      </c>
      <c r="M197" s="87">
        <v>626</v>
      </c>
      <c r="N197" s="87">
        <v>1055</v>
      </c>
      <c r="O197" s="87">
        <v>907</v>
      </c>
      <c r="P197" s="88">
        <f>SUM(D197:O197)</f>
        <v>7436</v>
      </c>
    </row>
    <row r="198" spans="1:17" ht="6" hidden="1" customHeight="1" x14ac:dyDescent="0.25">
      <c r="A198"/>
      <c r="B198" s="101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6"/>
    </row>
    <row r="199" spans="1:17" ht="11.4" hidden="1" customHeight="1" x14ac:dyDescent="0.25">
      <c r="A199"/>
      <c r="B199" s="81" t="s">
        <v>27</v>
      </c>
      <c r="C199" s="82"/>
      <c r="D199" s="83">
        <f t="shared" ref="D199:O199" si="51">SUM(D200:D201)</f>
        <v>8081</v>
      </c>
      <c r="E199" s="83">
        <f t="shared" si="51"/>
        <v>8563</v>
      </c>
      <c r="F199" s="83">
        <f t="shared" si="51"/>
        <v>9217</v>
      </c>
      <c r="G199" s="83">
        <f t="shared" si="51"/>
        <v>9684</v>
      </c>
      <c r="H199" s="83">
        <f t="shared" si="51"/>
        <v>7802</v>
      </c>
      <c r="I199" s="83">
        <f t="shared" si="51"/>
        <v>9483</v>
      </c>
      <c r="J199" s="83">
        <f t="shared" si="51"/>
        <v>5247</v>
      </c>
      <c r="K199" s="83">
        <f t="shared" si="51"/>
        <v>3685</v>
      </c>
      <c r="L199" s="83">
        <f t="shared" si="51"/>
        <v>3216</v>
      </c>
      <c r="M199" s="83">
        <f t="shared" si="51"/>
        <v>9448</v>
      </c>
      <c r="N199" s="83">
        <f t="shared" si="51"/>
        <v>6918</v>
      </c>
      <c r="O199" s="83">
        <f t="shared" si="51"/>
        <v>7740</v>
      </c>
      <c r="P199" s="83">
        <f>SUM(D199:O199)</f>
        <v>89084</v>
      </c>
    </row>
    <row r="200" spans="1:17" ht="9.75" hidden="1" customHeight="1" x14ac:dyDescent="0.25">
      <c r="A200"/>
      <c r="B200" s="85"/>
      <c r="C200" s="147" t="s">
        <v>79</v>
      </c>
      <c r="D200" s="148">
        <v>5844</v>
      </c>
      <c r="E200" s="148">
        <v>6155</v>
      </c>
      <c r="F200" s="149">
        <v>6588</v>
      </c>
      <c r="G200" s="150">
        <v>7293</v>
      </c>
      <c r="H200" s="149">
        <v>5769</v>
      </c>
      <c r="I200" s="151">
        <v>6830</v>
      </c>
      <c r="J200" s="151">
        <v>3936</v>
      </c>
      <c r="K200" s="149">
        <v>1968</v>
      </c>
      <c r="L200" s="149">
        <v>1293</v>
      </c>
      <c r="M200" s="149">
        <v>6311</v>
      </c>
      <c r="N200" s="149">
        <v>4582</v>
      </c>
      <c r="O200" s="149">
        <v>5538</v>
      </c>
      <c r="P200" s="152">
        <f>SUM(D200:O200)</f>
        <v>62107</v>
      </c>
    </row>
    <row r="201" spans="1:17" ht="9.75" hidden="1" customHeight="1" x14ac:dyDescent="0.25">
      <c r="A201"/>
      <c r="B201" s="89"/>
      <c r="C201" s="86" t="s">
        <v>140</v>
      </c>
      <c r="D201" s="99">
        <v>2237</v>
      </c>
      <c r="E201" s="99">
        <v>2408</v>
      </c>
      <c r="F201" s="87">
        <v>2629</v>
      </c>
      <c r="G201" s="100">
        <v>2391</v>
      </c>
      <c r="H201" s="87">
        <v>2033</v>
      </c>
      <c r="I201" s="97">
        <v>2653</v>
      </c>
      <c r="J201" s="98">
        <v>1311</v>
      </c>
      <c r="K201" s="90">
        <v>1717</v>
      </c>
      <c r="L201" s="90">
        <v>1923</v>
      </c>
      <c r="M201" s="90">
        <v>3137</v>
      </c>
      <c r="N201" s="90">
        <v>2336</v>
      </c>
      <c r="O201" s="90">
        <v>2202</v>
      </c>
      <c r="P201" s="88">
        <f>SUM(D201:O201)</f>
        <v>26977</v>
      </c>
    </row>
    <row r="202" spans="1:17" ht="6" hidden="1" customHeight="1" x14ac:dyDescent="0.25">
      <c r="A202"/>
      <c r="B202" s="101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6"/>
    </row>
    <row r="203" spans="1:17" ht="9.9" hidden="1" customHeight="1" x14ac:dyDescent="0.25">
      <c r="B203" s="81" t="s">
        <v>113</v>
      </c>
      <c r="C203" s="82"/>
      <c r="D203" s="83">
        <f t="shared" ref="D203:O203" si="52">SUM(D204:D207)</f>
        <v>1196</v>
      </c>
      <c r="E203" s="83">
        <f t="shared" si="52"/>
        <v>1266</v>
      </c>
      <c r="F203" s="83">
        <f t="shared" si="52"/>
        <v>2175</v>
      </c>
      <c r="G203" s="83">
        <f t="shared" si="52"/>
        <v>1494</v>
      </c>
      <c r="H203" s="83">
        <f t="shared" si="52"/>
        <v>798</v>
      </c>
      <c r="I203" s="83">
        <f t="shared" si="52"/>
        <v>639</v>
      </c>
      <c r="J203" s="83">
        <f t="shared" si="52"/>
        <v>699</v>
      </c>
      <c r="K203" s="83">
        <f t="shared" si="52"/>
        <v>882</v>
      </c>
      <c r="L203" s="83">
        <f t="shared" si="52"/>
        <v>347</v>
      </c>
      <c r="M203" s="83">
        <f t="shared" si="52"/>
        <v>975</v>
      </c>
      <c r="N203" s="83">
        <f t="shared" si="52"/>
        <v>595</v>
      </c>
      <c r="O203" s="83">
        <f t="shared" si="52"/>
        <v>1178</v>
      </c>
      <c r="P203" s="84">
        <f>SUM(D203:O203)</f>
        <v>12244</v>
      </c>
    </row>
    <row r="204" spans="1:17" ht="9.9" hidden="1" customHeight="1" x14ac:dyDescent="0.25">
      <c r="B204" s="85"/>
      <c r="C204" s="86" t="s">
        <v>128</v>
      </c>
      <c r="D204" s="99">
        <v>911</v>
      </c>
      <c r="E204" s="99">
        <v>860</v>
      </c>
      <c r="F204" s="87">
        <v>1060</v>
      </c>
      <c r="G204" s="100">
        <v>839</v>
      </c>
      <c r="H204" s="87">
        <v>553</v>
      </c>
      <c r="I204" s="97">
        <v>522</v>
      </c>
      <c r="J204" s="98">
        <v>607</v>
      </c>
      <c r="K204" s="90">
        <v>718</v>
      </c>
      <c r="L204" s="90">
        <v>332</v>
      </c>
      <c r="M204" s="90">
        <v>648</v>
      </c>
      <c r="N204" s="90">
        <v>480</v>
      </c>
      <c r="O204" s="90">
        <v>912</v>
      </c>
      <c r="P204" s="88">
        <f>SUM(D204:O204)</f>
        <v>8442</v>
      </c>
    </row>
    <row r="205" spans="1:17" ht="9.9" hidden="1" customHeight="1" x14ac:dyDescent="0.25">
      <c r="B205" s="85"/>
      <c r="C205" s="86" t="s">
        <v>142</v>
      </c>
      <c r="D205" s="99">
        <v>277</v>
      </c>
      <c r="E205" s="99">
        <v>239</v>
      </c>
      <c r="F205" s="87">
        <v>306</v>
      </c>
      <c r="G205" s="100">
        <v>258</v>
      </c>
      <c r="H205" s="87">
        <v>197</v>
      </c>
      <c r="I205" s="97">
        <v>92</v>
      </c>
      <c r="J205" s="97">
        <v>90</v>
      </c>
      <c r="K205" s="87">
        <v>110</v>
      </c>
      <c r="L205" s="87">
        <v>4</v>
      </c>
      <c r="M205" s="87">
        <v>264</v>
      </c>
      <c r="N205" s="87">
        <v>52</v>
      </c>
      <c r="O205" s="87">
        <v>224</v>
      </c>
      <c r="P205" s="88">
        <f>SUM(D205:O205)</f>
        <v>2113</v>
      </c>
    </row>
    <row r="206" spans="1:17" ht="9.9" hidden="1" customHeight="1" x14ac:dyDescent="0.25">
      <c r="B206" s="85"/>
      <c r="C206" s="86" t="s">
        <v>143</v>
      </c>
      <c r="D206" s="99">
        <v>8</v>
      </c>
      <c r="E206" s="99">
        <v>167</v>
      </c>
      <c r="F206" s="87">
        <v>809</v>
      </c>
      <c r="G206" s="100">
        <v>397</v>
      </c>
      <c r="H206" s="87">
        <v>48</v>
      </c>
      <c r="I206" s="97">
        <v>0</v>
      </c>
      <c r="J206" s="97">
        <v>-1</v>
      </c>
      <c r="K206" s="87">
        <v>0</v>
      </c>
      <c r="L206" s="87">
        <v>0</v>
      </c>
      <c r="M206" s="87">
        <v>0</v>
      </c>
      <c r="N206" s="87">
        <v>0</v>
      </c>
      <c r="O206" s="87">
        <v>0</v>
      </c>
      <c r="P206" s="88">
        <f>SUM(D206:O206)</f>
        <v>1428</v>
      </c>
    </row>
    <row r="207" spans="1:17" ht="9.9" hidden="1" customHeight="1" x14ac:dyDescent="0.25">
      <c r="B207" s="89"/>
      <c r="C207" s="86" t="s">
        <v>176</v>
      </c>
      <c r="D207" s="99">
        <v>0</v>
      </c>
      <c r="E207" s="99">
        <v>0</v>
      </c>
      <c r="F207" s="87">
        <v>0</v>
      </c>
      <c r="G207" s="100">
        <v>0</v>
      </c>
      <c r="H207" s="87">
        <v>0</v>
      </c>
      <c r="I207" s="97">
        <v>25</v>
      </c>
      <c r="J207" s="97">
        <v>3</v>
      </c>
      <c r="K207" s="87">
        <v>54</v>
      </c>
      <c r="L207" s="87">
        <v>11</v>
      </c>
      <c r="M207" s="87">
        <v>63</v>
      </c>
      <c r="N207" s="87">
        <v>63</v>
      </c>
      <c r="O207" s="87">
        <v>42</v>
      </c>
      <c r="P207" s="88">
        <f>SUM(D207:O207)</f>
        <v>261</v>
      </c>
    </row>
    <row r="208" spans="1:17" s="207" customFormat="1" ht="6.6" hidden="1" customHeight="1" x14ac:dyDescent="0.25">
      <c r="A208" s="202"/>
      <c r="B208" s="101"/>
      <c r="C208" s="101"/>
      <c r="D208" s="203"/>
      <c r="E208" s="203"/>
      <c r="F208" s="203"/>
      <c r="G208" s="203"/>
      <c r="H208" s="203"/>
      <c r="I208" s="203"/>
      <c r="J208" s="203"/>
      <c r="K208" s="203"/>
      <c r="L208" s="203"/>
      <c r="M208" s="203"/>
      <c r="N208" s="203"/>
      <c r="O208" s="203"/>
      <c r="P208" s="205"/>
      <c r="Q208" s="206"/>
    </row>
    <row r="209" spans="1:17" ht="9.9" hidden="1" customHeight="1" x14ac:dyDescent="0.25">
      <c r="B209" s="81" t="s">
        <v>59</v>
      </c>
      <c r="C209" s="82"/>
      <c r="D209" s="83">
        <f t="shared" ref="D209:O209" si="53">SUM(D210:D211)</f>
        <v>6733</v>
      </c>
      <c r="E209" s="83">
        <f t="shared" si="53"/>
        <v>5869</v>
      </c>
      <c r="F209" s="83">
        <f t="shared" si="53"/>
        <v>4985</v>
      </c>
      <c r="G209" s="83">
        <f t="shared" si="53"/>
        <v>4478</v>
      </c>
      <c r="H209" s="83">
        <f t="shared" si="53"/>
        <v>2988</v>
      </c>
      <c r="I209" s="83">
        <f t="shared" si="53"/>
        <v>3338</v>
      </c>
      <c r="J209" s="83">
        <f t="shared" si="53"/>
        <v>3972</v>
      </c>
      <c r="K209" s="83">
        <f t="shared" si="53"/>
        <v>3821</v>
      </c>
      <c r="L209" s="83">
        <f t="shared" si="53"/>
        <v>2093</v>
      </c>
      <c r="M209" s="83">
        <f t="shared" si="53"/>
        <v>2911</v>
      </c>
      <c r="N209" s="83">
        <f t="shared" si="53"/>
        <v>3861</v>
      </c>
      <c r="O209" s="83">
        <f t="shared" si="53"/>
        <v>3327</v>
      </c>
      <c r="P209" s="84">
        <f>SUM(D209:O209)</f>
        <v>48376</v>
      </c>
    </row>
    <row r="210" spans="1:17" ht="9.9" hidden="1" customHeight="1" x14ac:dyDescent="0.25">
      <c r="B210" s="85"/>
      <c r="C210" s="86" t="s">
        <v>156</v>
      </c>
      <c r="D210" s="99">
        <v>4415</v>
      </c>
      <c r="E210" s="99">
        <v>4209</v>
      </c>
      <c r="F210" s="87">
        <v>3380</v>
      </c>
      <c r="G210" s="100">
        <v>3330</v>
      </c>
      <c r="H210" s="87">
        <v>2167</v>
      </c>
      <c r="I210" s="97">
        <v>2471</v>
      </c>
      <c r="J210" s="97">
        <v>2689</v>
      </c>
      <c r="K210" s="87">
        <v>2542</v>
      </c>
      <c r="L210" s="87">
        <v>1567</v>
      </c>
      <c r="M210" s="87">
        <v>1776</v>
      </c>
      <c r="N210" s="87">
        <v>2052</v>
      </c>
      <c r="O210" s="87">
        <v>2206</v>
      </c>
      <c r="P210" s="88">
        <f>SUM(D210:O210)</f>
        <v>32804</v>
      </c>
    </row>
    <row r="211" spans="1:17" ht="9.9" hidden="1" customHeight="1" x14ac:dyDescent="0.25">
      <c r="B211" s="89"/>
      <c r="C211" s="86" t="s">
        <v>157</v>
      </c>
      <c r="D211" s="99">
        <v>2318</v>
      </c>
      <c r="E211" s="99">
        <v>1660</v>
      </c>
      <c r="F211" s="87">
        <v>1605</v>
      </c>
      <c r="G211" s="100">
        <v>1148</v>
      </c>
      <c r="H211" s="87">
        <v>821</v>
      </c>
      <c r="I211" s="97">
        <v>867</v>
      </c>
      <c r="J211" s="97">
        <v>1283</v>
      </c>
      <c r="K211" s="87">
        <v>1279</v>
      </c>
      <c r="L211" s="87">
        <v>526</v>
      </c>
      <c r="M211" s="87">
        <v>1135</v>
      </c>
      <c r="N211" s="87">
        <v>1809</v>
      </c>
      <c r="O211" s="87">
        <v>1121</v>
      </c>
      <c r="P211" s="88">
        <f>SUM(D211:O211)</f>
        <v>15572</v>
      </c>
    </row>
    <row r="212" spans="1:17" s="207" customFormat="1" ht="6.6" hidden="1" customHeight="1" x14ac:dyDescent="0.25">
      <c r="A212" s="202"/>
      <c r="B212" s="101"/>
      <c r="C212" s="101"/>
      <c r="D212" s="203"/>
      <c r="E212" s="203"/>
      <c r="F212" s="203"/>
      <c r="G212" s="203"/>
      <c r="H212" s="203"/>
      <c r="I212" s="203"/>
      <c r="J212" s="203"/>
      <c r="K212" s="203"/>
      <c r="L212" s="203"/>
      <c r="M212" s="203"/>
      <c r="N212" s="203"/>
      <c r="O212" s="203"/>
      <c r="P212" s="205"/>
      <c r="Q212" s="206"/>
    </row>
    <row r="213" spans="1:17" ht="9.9" hidden="1" customHeight="1" x14ac:dyDescent="0.25">
      <c r="B213" s="81" t="s">
        <v>179</v>
      </c>
      <c r="C213" s="82"/>
      <c r="D213" s="267">
        <f t="shared" ref="D213:I213" si="54">SUM(D214,D215)</f>
        <v>4313</v>
      </c>
      <c r="E213" s="267">
        <f t="shared" si="54"/>
        <v>2781</v>
      </c>
      <c r="F213" s="267">
        <f t="shared" si="54"/>
        <v>4274</v>
      </c>
      <c r="G213" s="267">
        <f t="shared" si="54"/>
        <v>4096</v>
      </c>
      <c r="H213" s="267">
        <f t="shared" si="54"/>
        <v>3479</v>
      </c>
      <c r="I213" s="267">
        <f t="shared" si="54"/>
        <v>2780</v>
      </c>
      <c r="J213" s="83">
        <f t="shared" ref="J213:O213" si="55">SUM(J214:J215)</f>
        <v>4452</v>
      </c>
      <c r="K213" s="83">
        <f t="shared" si="55"/>
        <v>3322</v>
      </c>
      <c r="L213" s="83">
        <f t="shared" si="55"/>
        <v>2189</v>
      </c>
      <c r="M213" s="83">
        <f t="shared" si="55"/>
        <v>3494</v>
      </c>
      <c r="N213" s="83">
        <f t="shared" si="55"/>
        <v>2895</v>
      </c>
      <c r="O213" s="83">
        <f t="shared" si="55"/>
        <v>3525</v>
      </c>
      <c r="P213" s="84">
        <f>SUM(D213:O213)</f>
        <v>41600</v>
      </c>
    </row>
    <row r="214" spans="1:17" ht="9.9" hidden="1" customHeight="1" x14ac:dyDescent="0.25">
      <c r="B214" s="85"/>
      <c r="C214" s="86" t="s">
        <v>123</v>
      </c>
      <c r="D214" s="87">
        <v>4313</v>
      </c>
      <c r="E214" s="87">
        <v>2781</v>
      </c>
      <c r="F214" s="87">
        <v>4274</v>
      </c>
      <c r="G214" s="87">
        <v>4096</v>
      </c>
      <c r="H214" s="87">
        <v>3479</v>
      </c>
      <c r="I214" s="87">
        <v>2780</v>
      </c>
      <c r="J214" s="97">
        <v>2392</v>
      </c>
      <c r="K214" s="87">
        <v>1281</v>
      </c>
      <c r="L214" s="87">
        <v>853</v>
      </c>
      <c r="M214" s="87">
        <v>2151</v>
      </c>
      <c r="N214" s="87">
        <v>1478</v>
      </c>
      <c r="O214" s="87">
        <v>2016</v>
      </c>
      <c r="P214" s="273">
        <f>SUM(D214:O214)</f>
        <v>31894</v>
      </c>
    </row>
    <row r="215" spans="1:17" ht="9.9" hidden="1" customHeight="1" x14ac:dyDescent="0.25">
      <c r="B215" s="89"/>
      <c r="C215" s="86" t="s">
        <v>180</v>
      </c>
      <c r="D215" s="268">
        <v>0</v>
      </c>
      <c r="E215" s="268">
        <v>0</v>
      </c>
      <c r="F215" s="269">
        <v>0</v>
      </c>
      <c r="G215" s="270">
        <v>0</v>
      </c>
      <c r="H215" s="269">
        <v>0</v>
      </c>
      <c r="I215" s="271">
        <v>0</v>
      </c>
      <c r="J215" s="97">
        <v>2060</v>
      </c>
      <c r="K215" s="87">
        <v>2041</v>
      </c>
      <c r="L215" s="87">
        <v>1336</v>
      </c>
      <c r="M215" s="87">
        <v>1343</v>
      </c>
      <c r="N215" s="87">
        <v>1417</v>
      </c>
      <c r="O215" s="87">
        <v>1509</v>
      </c>
      <c r="P215" s="273">
        <f>SUM(D215:O215)</f>
        <v>9706</v>
      </c>
    </row>
    <row r="216" spans="1:17" s="207" customFormat="1" ht="7.2" hidden="1" customHeight="1" x14ac:dyDescent="0.25">
      <c r="A216" s="202"/>
      <c r="B216" s="101"/>
      <c r="C216" s="101"/>
      <c r="D216" s="203"/>
      <c r="E216" s="203"/>
      <c r="F216" s="203"/>
      <c r="G216" s="203"/>
      <c r="H216" s="203"/>
      <c r="I216" s="203"/>
      <c r="J216" s="203"/>
      <c r="K216" s="203"/>
      <c r="L216" s="203"/>
      <c r="M216" s="203"/>
      <c r="N216" s="203"/>
      <c r="O216" s="203"/>
      <c r="P216" s="205"/>
      <c r="Q216" s="206"/>
    </row>
    <row r="217" spans="1:17" ht="10.199999999999999" hidden="1" customHeight="1" x14ac:dyDescent="0.25">
      <c r="B217" s="81" t="s">
        <v>117</v>
      </c>
      <c r="C217" s="82"/>
      <c r="D217" s="83">
        <f t="shared" ref="D217:O217" si="56">SUM(D218:D220)</f>
        <v>5650</v>
      </c>
      <c r="E217" s="83">
        <f t="shared" si="56"/>
        <v>2714</v>
      </c>
      <c r="F217" s="83">
        <f t="shared" si="56"/>
        <v>5252</v>
      </c>
      <c r="G217" s="83">
        <f t="shared" si="56"/>
        <v>6009</v>
      </c>
      <c r="H217" s="83">
        <f t="shared" si="56"/>
        <v>5584</v>
      </c>
      <c r="I217" s="83">
        <f t="shared" si="56"/>
        <v>5357</v>
      </c>
      <c r="J217" s="83">
        <f t="shared" si="56"/>
        <v>5028</v>
      </c>
      <c r="K217" s="83">
        <f t="shared" si="56"/>
        <v>3718</v>
      </c>
      <c r="L217" s="83">
        <f t="shared" si="56"/>
        <v>3892</v>
      </c>
      <c r="M217" s="83">
        <f t="shared" si="56"/>
        <v>6119</v>
      </c>
      <c r="N217" s="83">
        <f t="shared" si="56"/>
        <v>3946</v>
      </c>
      <c r="O217" s="83">
        <f t="shared" si="56"/>
        <v>6194</v>
      </c>
      <c r="P217" s="83">
        <f>SUM(D217:O217)</f>
        <v>59463</v>
      </c>
    </row>
    <row r="218" spans="1:17" ht="8.4" hidden="1" customHeight="1" x14ac:dyDescent="0.25">
      <c r="B218" s="85"/>
      <c r="C218" s="86" t="s">
        <v>150</v>
      </c>
      <c r="D218" s="99">
        <v>0</v>
      </c>
      <c r="E218" s="99">
        <v>0</v>
      </c>
      <c r="F218" s="87">
        <v>0</v>
      </c>
      <c r="G218" s="100">
        <v>-1</v>
      </c>
      <c r="H218" s="87">
        <v>0</v>
      </c>
      <c r="I218" s="97">
        <v>0</v>
      </c>
      <c r="J218" s="97">
        <v>0</v>
      </c>
      <c r="K218" s="87">
        <v>0</v>
      </c>
      <c r="L218" s="87">
        <v>0</v>
      </c>
      <c r="M218" s="87">
        <v>0</v>
      </c>
      <c r="N218" s="87">
        <v>0</v>
      </c>
      <c r="O218" s="87">
        <v>0</v>
      </c>
      <c r="P218" s="272">
        <f>SUM(D218:O218)</f>
        <v>-1</v>
      </c>
    </row>
    <row r="219" spans="1:17" ht="9.9" hidden="1" customHeight="1" x14ac:dyDescent="0.25">
      <c r="B219" s="85"/>
      <c r="C219" s="86" t="s">
        <v>151</v>
      </c>
      <c r="D219" s="99">
        <v>5650</v>
      </c>
      <c r="E219" s="99">
        <v>2714</v>
      </c>
      <c r="F219" s="99">
        <v>5252</v>
      </c>
      <c r="G219" s="99">
        <v>6010</v>
      </c>
      <c r="H219" s="99">
        <v>5584</v>
      </c>
      <c r="I219" s="99">
        <v>5357</v>
      </c>
      <c r="J219" s="99">
        <v>4993</v>
      </c>
      <c r="K219" s="99">
        <v>3576</v>
      </c>
      <c r="L219" s="99">
        <v>3757</v>
      </c>
      <c r="M219" s="99">
        <v>5583</v>
      </c>
      <c r="N219" s="90">
        <v>3671</v>
      </c>
      <c r="O219" s="90">
        <v>5964</v>
      </c>
      <c r="P219" s="272">
        <f>SUM(D219:O219)</f>
        <v>58111</v>
      </c>
    </row>
    <row r="220" spans="1:17" s="16" customFormat="1" ht="8.4" hidden="1" customHeight="1" x14ac:dyDescent="0.25">
      <c r="A220" s="20"/>
      <c r="B220" s="89"/>
      <c r="C220" s="86" t="s">
        <v>143</v>
      </c>
      <c r="D220" s="99">
        <v>0</v>
      </c>
      <c r="E220" s="99">
        <v>0</v>
      </c>
      <c r="F220" s="99">
        <v>0</v>
      </c>
      <c r="G220" s="99">
        <v>0</v>
      </c>
      <c r="H220" s="99">
        <v>0</v>
      </c>
      <c r="I220" s="99">
        <v>0</v>
      </c>
      <c r="J220" s="99">
        <v>35</v>
      </c>
      <c r="K220" s="99">
        <v>142</v>
      </c>
      <c r="L220" s="99">
        <v>135</v>
      </c>
      <c r="M220" s="99">
        <v>536</v>
      </c>
      <c r="N220" s="90">
        <v>275</v>
      </c>
      <c r="O220" s="90">
        <v>230</v>
      </c>
      <c r="P220" s="272">
        <f>SUM(D220:O220)</f>
        <v>1353</v>
      </c>
      <c r="Q220" s="112"/>
    </row>
    <row r="221" spans="1:17" ht="6.6" hidden="1" customHeight="1" x14ac:dyDescent="0.25">
      <c r="A221" s="190"/>
      <c r="B221" s="191"/>
      <c r="C221" s="191"/>
      <c r="D221" s="192"/>
      <c r="E221" s="192"/>
      <c r="F221" s="192"/>
      <c r="G221" s="192"/>
      <c r="H221" s="192"/>
      <c r="I221" s="192"/>
      <c r="J221" s="193"/>
      <c r="K221" s="193"/>
      <c r="L221" s="193"/>
      <c r="M221" s="193"/>
      <c r="N221" s="193"/>
      <c r="O221" s="193"/>
      <c r="P221" s="194"/>
    </row>
    <row r="222" spans="1:17" ht="10.199999999999999" hidden="1" customHeight="1" x14ac:dyDescent="0.25">
      <c r="B222" s="81" t="s">
        <v>12</v>
      </c>
      <c r="C222" s="82"/>
      <c r="D222" s="83">
        <f t="shared" ref="D222:O222" si="57">SUM(D223:D224)</f>
        <v>7952</v>
      </c>
      <c r="E222" s="83">
        <f t="shared" si="57"/>
        <v>7626</v>
      </c>
      <c r="F222" s="83">
        <f t="shared" si="57"/>
        <v>11213</v>
      </c>
      <c r="G222" s="83">
        <f t="shared" si="57"/>
        <v>9182</v>
      </c>
      <c r="H222" s="83">
        <f t="shared" si="57"/>
        <v>6930</v>
      </c>
      <c r="I222" s="83">
        <f t="shared" si="57"/>
        <v>9208</v>
      </c>
      <c r="J222" s="83">
        <f t="shared" si="57"/>
        <v>8804</v>
      </c>
      <c r="K222" s="83">
        <f t="shared" si="57"/>
        <v>7424</v>
      </c>
      <c r="L222" s="83">
        <f t="shared" si="57"/>
        <v>4916</v>
      </c>
      <c r="M222" s="83">
        <f t="shared" si="57"/>
        <v>4042</v>
      </c>
      <c r="N222" s="83">
        <f t="shared" si="57"/>
        <v>7288</v>
      </c>
      <c r="O222" s="83">
        <f t="shared" si="57"/>
        <v>7633</v>
      </c>
      <c r="P222" s="84">
        <f>SUM(D222:O222)</f>
        <v>92218</v>
      </c>
    </row>
    <row r="223" spans="1:17" ht="9" hidden="1" customHeight="1" x14ac:dyDescent="0.25">
      <c r="B223" s="85"/>
      <c r="C223" s="86" t="s">
        <v>12</v>
      </c>
      <c r="D223" s="99">
        <v>7896</v>
      </c>
      <c r="E223" s="99">
        <v>5731</v>
      </c>
      <c r="F223" s="87">
        <v>8751</v>
      </c>
      <c r="G223" s="100">
        <v>7607</v>
      </c>
      <c r="H223" s="87">
        <v>5918</v>
      </c>
      <c r="I223" s="97">
        <v>7654</v>
      </c>
      <c r="J223" s="97">
        <v>7396</v>
      </c>
      <c r="K223" s="87">
        <v>6217</v>
      </c>
      <c r="L223" s="87">
        <v>4259</v>
      </c>
      <c r="M223" s="87">
        <v>2726</v>
      </c>
      <c r="N223" s="87">
        <v>5769</v>
      </c>
      <c r="O223" s="87">
        <v>6489</v>
      </c>
      <c r="P223" s="88">
        <f>SUM(D223:O223)</f>
        <v>76413</v>
      </c>
      <c r="Q223"/>
    </row>
    <row r="224" spans="1:17" ht="8.4" hidden="1" customHeight="1" x14ac:dyDescent="0.25">
      <c r="B224" s="89"/>
      <c r="C224" s="86" t="s">
        <v>143</v>
      </c>
      <c r="D224" s="99">
        <v>56</v>
      </c>
      <c r="E224" s="99">
        <v>1895</v>
      </c>
      <c r="F224" s="99">
        <v>2462</v>
      </c>
      <c r="G224" s="99">
        <v>1575</v>
      </c>
      <c r="H224" s="99">
        <v>1012</v>
      </c>
      <c r="I224" s="99">
        <v>1554</v>
      </c>
      <c r="J224" s="99">
        <v>1408</v>
      </c>
      <c r="K224" s="99">
        <v>1207</v>
      </c>
      <c r="L224" s="99">
        <v>657</v>
      </c>
      <c r="M224" s="99">
        <v>1316</v>
      </c>
      <c r="N224" s="90">
        <v>1519</v>
      </c>
      <c r="O224" s="90">
        <v>1144</v>
      </c>
      <c r="P224" s="88">
        <f>SUM(D224:O224)</f>
        <v>15805</v>
      </c>
      <c r="Q224"/>
    </row>
    <row r="225" spans="1:17" ht="12.6" hidden="1" customHeight="1" x14ac:dyDescent="0.25">
      <c r="A225" s="16"/>
      <c r="B225" s="16"/>
      <c r="C225" s="16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6"/>
      <c r="Q225"/>
    </row>
    <row r="226" spans="1:17" ht="12.75" hidden="1" customHeight="1" thickBot="1" x14ac:dyDescent="0.3">
      <c r="B226" s="18" t="s">
        <v>147</v>
      </c>
      <c r="C226" s="18"/>
      <c r="Q226"/>
    </row>
    <row r="227" spans="1:17" ht="12.75" hidden="1" customHeight="1" thickBot="1" x14ac:dyDescent="0.3">
      <c r="B227" s="427" t="s">
        <v>1</v>
      </c>
      <c r="C227" s="428"/>
      <c r="D227" s="21">
        <v>1</v>
      </c>
      <c r="E227" s="22">
        <v>2</v>
      </c>
      <c r="F227" s="22">
        <v>3</v>
      </c>
      <c r="G227" s="22">
        <v>4</v>
      </c>
      <c r="H227" s="22">
        <v>5</v>
      </c>
      <c r="I227" s="22">
        <v>6</v>
      </c>
      <c r="J227" s="22">
        <v>7</v>
      </c>
      <c r="K227" s="22">
        <v>8</v>
      </c>
      <c r="L227" s="22">
        <v>9</v>
      </c>
      <c r="M227" s="22">
        <v>10</v>
      </c>
      <c r="N227" s="22">
        <v>11</v>
      </c>
      <c r="O227" s="22">
        <v>12</v>
      </c>
      <c r="P227" s="23" t="s">
        <v>0</v>
      </c>
      <c r="Q227"/>
    </row>
    <row r="228" spans="1:17" ht="12.75" hidden="1" customHeight="1" x14ac:dyDescent="0.25">
      <c r="B228" s="437" t="s">
        <v>45</v>
      </c>
      <c r="C228" s="174" t="s">
        <v>21</v>
      </c>
      <c r="D228" s="39">
        <v>0</v>
      </c>
      <c r="E228" s="40">
        <v>0</v>
      </c>
      <c r="F228" s="39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/>
      <c r="N228" s="40"/>
      <c r="O228" s="40"/>
      <c r="P228" s="41">
        <f t="shared" ref="P228:P235" si="58">SUM(D228:O228)</f>
        <v>0</v>
      </c>
      <c r="Q228"/>
    </row>
    <row r="229" spans="1:17" ht="12.75" hidden="1" customHeight="1" x14ac:dyDescent="0.25">
      <c r="A229"/>
      <c r="B229" s="438"/>
      <c r="C229" s="175" t="s">
        <v>22</v>
      </c>
      <c r="D229" s="75">
        <f>31+55</f>
        <v>86</v>
      </c>
      <c r="E229" s="76">
        <f>88+52</f>
        <v>140</v>
      </c>
      <c r="F229" s="75">
        <f>101+88</f>
        <v>189</v>
      </c>
      <c r="G229" s="76">
        <f>116+112</f>
        <v>228</v>
      </c>
      <c r="H229" s="76">
        <f>142+85</f>
        <v>227</v>
      </c>
      <c r="I229" s="76">
        <f>174+267</f>
        <v>441</v>
      </c>
      <c r="J229" s="76">
        <v>262</v>
      </c>
      <c r="K229" s="76">
        <v>95</v>
      </c>
      <c r="L229" s="78">
        <v>298</v>
      </c>
      <c r="M229" s="76">
        <v>207</v>
      </c>
      <c r="N229" s="76">
        <v>99</v>
      </c>
      <c r="O229" s="76">
        <v>69</v>
      </c>
      <c r="P229" s="77">
        <f t="shared" si="58"/>
        <v>2341</v>
      </c>
      <c r="Q229"/>
    </row>
    <row r="230" spans="1:17" ht="12.75" hidden="1" customHeight="1" x14ac:dyDescent="0.25">
      <c r="A230"/>
      <c r="B230" s="438"/>
      <c r="C230" s="175" t="s">
        <v>24</v>
      </c>
      <c r="D230" s="75">
        <v>2638</v>
      </c>
      <c r="E230" s="75">
        <v>2575</v>
      </c>
      <c r="F230" s="75">
        <v>3886</v>
      </c>
      <c r="G230" s="75">
        <v>8249</v>
      </c>
      <c r="H230" s="75">
        <v>9382</v>
      </c>
      <c r="I230" s="75">
        <v>10875</v>
      </c>
      <c r="J230" s="75">
        <v>11037</v>
      </c>
      <c r="K230" s="75">
        <v>5792</v>
      </c>
      <c r="L230" s="75">
        <v>9136</v>
      </c>
      <c r="M230" s="75">
        <v>8316</v>
      </c>
      <c r="N230" s="75">
        <v>7477</v>
      </c>
      <c r="O230" s="75">
        <v>8368</v>
      </c>
      <c r="P230" s="31">
        <f t="shared" si="58"/>
        <v>87731</v>
      </c>
      <c r="Q230"/>
    </row>
    <row r="231" spans="1:17" ht="12.75" hidden="1" customHeight="1" x14ac:dyDescent="0.25">
      <c r="A231"/>
      <c r="B231" s="438"/>
      <c r="C231" s="175" t="s">
        <v>68</v>
      </c>
      <c r="D231" s="75">
        <v>164</v>
      </c>
      <c r="E231" s="75">
        <v>188</v>
      </c>
      <c r="F231" s="75">
        <f>409+276</f>
        <v>685</v>
      </c>
      <c r="G231" s="75">
        <v>555</v>
      </c>
      <c r="H231" s="75">
        <v>183</v>
      </c>
      <c r="I231" s="75">
        <v>280</v>
      </c>
      <c r="J231" s="75">
        <v>268</v>
      </c>
      <c r="K231" s="75">
        <v>264</v>
      </c>
      <c r="L231" s="75">
        <v>233</v>
      </c>
      <c r="M231" s="75">
        <v>234</v>
      </c>
      <c r="N231" s="75">
        <v>540</v>
      </c>
      <c r="O231" s="75">
        <v>21</v>
      </c>
      <c r="P231" s="27">
        <f t="shared" si="58"/>
        <v>3615</v>
      </c>
      <c r="Q231"/>
    </row>
    <row r="232" spans="1:17" ht="12.75" hidden="1" customHeight="1" x14ac:dyDescent="0.25">
      <c r="A232"/>
      <c r="B232" s="438"/>
      <c r="C232" s="176" t="s">
        <v>3</v>
      </c>
      <c r="D232" s="29">
        <v>30</v>
      </c>
      <c r="E232" s="30">
        <v>32</v>
      </c>
      <c r="F232" s="29">
        <v>67</v>
      </c>
      <c r="G232" s="30">
        <v>45</v>
      </c>
      <c r="H232" s="30">
        <v>45</v>
      </c>
      <c r="I232" s="30">
        <v>59</v>
      </c>
      <c r="J232" s="30">
        <v>48</v>
      </c>
      <c r="K232" s="30">
        <v>66</v>
      </c>
      <c r="L232" s="32">
        <v>70</v>
      </c>
      <c r="M232" s="30">
        <v>37</v>
      </c>
      <c r="N232" s="30">
        <v>2</v>
      </c>
      <c r="O232" s="30">
        <v>-1</v>
      </c>
      <c r="P232" s="77">
        <f t="shared" si="58"/>
        <v>500</v>
      </c>
      <c r="Q232"/>
    </row>
    <row r="233" spans="1:17" ht="12.75" hidden="1" customHeight="1" x14ac:dyDescent="0.25">
      <c r="A233"/>
      <c r="B233" s="438"/>
      <c r="C233" s="177" t="s">
        <v>25</v>
      </c>
      <c r="D233" s="73">
        <v>6423</v>
      </c>
      <c r="E233" s="73">
        <v>5022</v>
      </c>
      <c r="F233" s="73">
        <f>1729+4804+720</f>
        <v>7253</v>
      </c>
      <c r="G233" s="73">
        <v>5385</v>
      </c>
      <c r="H233" s="73">
        <v>5827</v>
      </c>
      <c r="I233" s="73">
        <v>8063</v>
      </c>
      <c r="J233" s="73">
        <v>5213</v>
      </c>
      <c r="K233" s="73">
        <v>4595</v>
      </c>
      <c r="L233" s="73">
        <v>4589</v>
      </c>
      <c r="M233" s="73">
        <v>5670</v>
      </c>
      <c r="N233" s="73">
        <v>5038</v>
      </c>
      <c r="O233" s="73">
        <v>4362</v>
      </c>
      <c r="P233" s="77">
        <f t="shared" si="58"/>
        <v>67440</v>
      </c>
      <c r="Q233"/>
    </row>
    <row r="234" spans="1:17" ht="12.75" hidden="1" customHeight="1" x14ac:dyDescent="0.25">
      <c r="A234"/>
      <c r="B234" s="438"/>
      <c r="C234" s="177" t="s">
        <v>43</v>
      </c>
      <c r="D234" s="73">
        <v>0</v>
      </c>
      <c r="E234" s="73">
        <v>0</v>
      </c>
      <c r="F234" s="73">
        <v>0</v>
      </c>
      <c r="G234" s="73">
        <v>0</v>
      </c>
      <c r="H234" s="73">
        <v>0</v>
      </c>
      <c r="I234" s="73">
        <v>0</v>
      </c>
      <c r="J234" s="73">
        <v>0</v>
      </c>
      <c r="K234" s="73">
        <v>0</v>
      </c>
      <c r="L234" s="73">
        <v>0</v>
      </c>
      <c r="M234" s="73"/>
      <c r="N234" s="73"/>
      <c r="O234" s="73"/>
      <c r="P234" s="77">
        <f t="shared" si="58"/>
        <v>0</v>
      </c>
      <c r="Q234"/>
    </row>
    <row r="235" spans="1:17" ht="12.75" hidden="1" customHeight="1" x14ac:dyDescent="0.25">
      <c r="A235"/>
      <c r="B235" s="438"/>
      <c r="C235" s="178" t="s">
        <v>27</v>
      </c>
      <c r="D235" s="71">
        <v>9350</v>
      </c>
      <c r="E235" s="71">
        <v>7550</v>
      </c>
      <c r="F235" s="71">
        <f>13568+3032</f>
        <v>16600</v>
      </c>
      <c r="G235" s="71">
        <v>15000</v>
      </c>
      <c r="H235" s="71">
        <v>13416</v>
      </c>
      <c r="I235" s="71">
        <v>15688</v>
      </c>
      <c r="J235" s="71">
        <v>14381</v>
      </c>
      <c r="K235" s="71">
        <v>10235</v>
      </c>
      <c r="L235" s="71">
        <v>11590</v>
      </c>
      <c r="M235" s="71">
        <v>10926</v>
      </c>
      <c r="N235" s="71">
        <v>11648</v>
      </c>
      <c r="O235" s="71">
        <v>9079</v>
      </c>
      <c r="P235" s="77">
        <f t="shared" si="58"/>
        <v>145463</v>
      </c>
      <c r="Q235"/>
    </row>
    <row r="236" spans="1:17" ht="12.75" hidden="1" customHeight="1" thickBot="1" x14ac:dyDescent="0.3">
      <c r="A236"/>
      <c r="B236" s="431"/>
      <c r="C236" s="180" t="s">
        <v>0</v>
      </c>
      <c r="D236" s="43">
        <f t="shared" ref="D236:O236" si="59">SUM(D228:D235)</f>
        <v>18691</v>
      </c>
      <c r="E236" s="43">
        <f t="shared" si="59"/>
        <v>15507</v>
      </c>
      <c r="F236" s="43">
        <f t="shared" si="59"/>
        <v>28680</v>
      </c>
      <c r="G236" s="43">
        <f t="shared" si="59"/>
        <v>29462</v>
      </c>
      <c r="H236" s="43">
        <f t="shared" si="59"/>
        <v>29080</v>
      </c>
      <c r="I236" s="43">
        <f t="shared" si="59"/>
        <v>35406</v>
      </c>
      <c r="J236" s="43">
        <f t="shared" si="59"/>
        <v>31209</v>
      </c>
      <c r="K236" s="43">
        <f>SUM(K228:K235)</f>
        <v>21047</v>
      </c>
      <c r="L236" s="43">
        <f t="shared" si="59"/>
        <v>25916</v>
      </c>
      <c r="M236" s="43">
        <f t="shared" si="59"/>
        <v>25390</v>
      </c>
      <c r="N236" s="43">
        <f t="shared" si="59"/>
        <v>24804</v>
      </c>
      <c r="O236" s="43">
        <f t="shared" si="59"/>
        <v>21898</v>
      </c>
      <c r="P236" s="44">
        <f>SUM(P228:P235)</f>
        <v>307090</v>
      </c>
      <c r="Q236"/>
    </row>
    <row r="237" spans="1:17" ht="12.75" hidden="1" customHeight="1" x14ac:dyDescent="0.25">
      <c r="A237"/>
      <c r="B237" s="433" t="s">
        <v>44</v>
      </c>
      <c r="C237" s="174" t="s">
        <v>137</v>
      </c>
      <c r="D237" s="39">
        <v>1710</v>
      </c>
      <c r="E237" s="40">
        <v>584</v>
      </c>
      <c r="F237" s="40">
        <v>2121</v>
      </c>
      <c r="G237" s="40">
        <v>1974</v>
      </c>
      <c r="H237" s="40">
        <v>1325</v>
      </c>
      <c r="I237" s="40">
        <v>2175</v>
      </c>
      <c r="J237" s="40">
        <v>1554</v>
      </c>
      <c r="K237" s="40">
        <v>1029</v>
      </c>
      <c r="L237" s="40">
        <v>1575</v>
      </c>
      <c r="M237" s="40">
        <v>1015</v>
      </c>
      <c r="N237" s="40">
        <v>1189</v>
      </c>
      <c r="O237" s="40">
        <v>1475</v>
      </c>
      <c r="P237" s="41">
        <f t="shared" ref="P237:P242" si="60">SUM(D237:O237)</f>
        <v>17726</v>
      </c>
      <c r="Q237"/>
    </row>
    <row r="238" spans="1:17" ht="12.75" hidden="1" customHeight="1" x14ac:dyDescent="0.25">
      <c r="A238"/>
      <c r="B238" s="433"/>
      <c r="C238" s="181" t="s">
        <v>113</v>
      </c>
      <c r="D238" s="25">
        <v>1835</v>
      </c>
      <c r="E238" s="26">
        <v>1459</v>
      </c>
      <c r="F238" s="26">
        <f>2918+697+1391</f>
        <v>5006</v>
      </c>
      <c r="G238" s="26">
        <v>4288</v>
      </c>
      <c r="H238" s="26">
        <v>2913</v>
      </c>
      <c r="I238" s="26">
        <v>3076</v>
      </c>
      <c r="J238" s="26">
        <v>2922</v>
      </c>
      <c r="K238" s="26">
        <v>1574</v>
      </c>
      <c r="L238" s="26">
        <v>3109</v>
      </c>
      <c r="M238" s="26">
        <v>1793</v>
      </c>
      <c r="N238" s="26">
        <v>2217</v>
      </c>
      <c r="O238" s="26">
        <v>1710</v>
      </c>
      <c r="P238" s="27">
        <f t="shared" si="60"/>
        <v>31902</v>
      </c>
      <c r="Q238"/>
    </row>
    <row r="239" spans="1:17" ht="12.75" hidden="1" customHeight="1" x14ac:dyDescent="0.25">
      <c r="A239"/>
      <c r="B239" s="433"/>
      <c r="C239" s="181" t="s">
        <v>59</v>
      </c>
      <c r="D239" s="25">
        <v>1766</v>
      </c>
      <c r="E239" s="26">
        <v>1534</v>
      </c>
      <c r="F239" s="26">
        <v>2612</v>
      </c>
      <c r="G239" s="26">
        <v>1718</v>
      </c>
      <c r="H239" s="26">
        <v>2353</v>
      </c>
      <c r="I239" s="26">
        <v>3115</v>
      </c>
      <c r="J239" s="26">
        <v>1686</v>
      </c>
      <c r="K239" s="26">
        <v>1664</v>
      </c>
      <c r="L239" s="26">
        <v>2196</v>
      </c>
      <c r="M239" s="26">
        <v>3063</v>
      </c>
      <c r="N239" s="26">
        <v>7490</v>
      </c>
      <c r="O239" s="26">
        <v>6947</v>
      </c>
      <c r="P239" s="27">
        <f t="shared" si="60"/>
        <v>36144</v>
      </c>
      <c r="Q239"/>
    </row>
    <row r="240" spans="1:17" ht="12.75" hidden="1" customHeight="1" x14ac:dyDescent="0.25">
      <c r="A240"/>
      <c r="B240" s="433"/>
      <c r="C240" s="181" t="s">
        <v>124</v>
      </c>
      <c r="D240" s="25">
        <v>81</v>
      </c>
      <c r="E240" s="26">
        <v>443</v>
      </c>
      <c r="F240" s="26">
        <v>706</v>
      </c>
      <c r="G240" s="26">
        <v>795</v>
      </c>
      <c r="H240" s="26">
        <v>270</v>
      </c>
      <c r="I240" s="26">
        <v>317</v>
      </c>
      <c r="J240" s="26">
        <v>700</v>
      </c>
      <c r="K240" s="26">
        <v>675</v>
      </c>
      <c r="L240" s="26">
        <v>461</v>
      </c>
      <c r="M240" s="26">
        <v>640</v>
      </c>
      <c r="N240" s="26">
        <v>365</v>
      </c>
      <c r="O240" s="26">
        <v>333</v>
      </c>
      <c r="P240" s="197">
        <f t="shared" si="60"/>
        <v>5786</v>
      </c>
      <c r="Q240"/>
    </row>
    <row r="241" spans="1:17" ht="12.75" hidden="1" customHeight="1" x14ac:dyDescent="0.25">
      <c r="A241"/>
      <c r="B241" s="433"/>
      <c r="C241" s="176" t="s">
        <v>8</v>
      </c>
      <c r="D241" s="29">
        <v>3204</v>
      </c>
      <c r="E241" s="30">
        <v>2978</v>
      </c>
      <c r="F241" s="30">
        <v>5788</v>
      </c>
      <c r="G241" s="30">
        <v>3468</v>
      </c>
      <c r="H241" s="30">
        <v>5765</v>
      </c>
      <c r="I241" s="30">
        <v>4901</v>
      </c>
      <c r="J241" s="30">
        <v>6252</v>
      </c>
      <c r="K241" s="30">
        <v>6224</v>
      </c>
      <c r="L241" s="30">
        <v>4520</v>
      </c>
      <c r="M241" s="30">
        <v>4003</v>
      </c>
      <c r="N241" s="30">
        <v>5157</v>
      </c>
      <c r="O241" s="30">
        <v>5318</v>
      </c>
      <c r="P241" s="77">
        <f t="shared" si="60"/>
        <v>57578</v>
      </c>
      <c r="Q241"/>
    </row>
    <row r="242" spans="1:17" ht="12.75" hidden="1" customHeight="1" x14ac:dyDescent="0.25">
      <c r="A242"/>
      <c r="B242" s="433"/>
      <c r="C242" s="176" t="s">
        <v>133</v>
      </c>
      <c r="D242" s="29">
        <v>5173</v>
      </c>
      <c r="E242" s="30">
        <v>2618</v>
      </c>
      <c r="F242" s="30">
        <v>6293</v>
      </c>
      <c r="G242" s="30">
        <v>5873</v>
      </c>
      <c r="H242" s="30">
        <v>4177</v>
      </c>
      <c r="I242" s="30">
        <v>6895</v>
      </c>
      <c r="J242" s="30">
        <v>6071</v>
      </c>
      <c r="K242" s="30">
        <v>4433</v>
      </c>
      <c r="L242" s="30">
        <v>5069</v>
      </c>
      <c r="M242" s="30">
        <v>6514</v>
      </c>
      <c r="N242" s="30">
        <v>5706</v>
      </c>
      <c r="O242" s="30">
        <v>5969</v>
      </c>
      <c r="P242" s="31">
        <f t="shared" si="60"/>
        <v>64791</v>
      </c>
      <c r="Q242"/>
    </row>
    <row r="243" spans="1:17" ht="12.75" hidden="1" customHeight="1" thickBot="1" x14ac:dyDescent="0.3">
      <c r="A243"/>
      <c r="B243" s="439"/>
      <c r="C243" s="182" t="s">
        <v>0</v>
      </c>
      <c r="D243" s="36">
        <f t="shared" ref="D243:P243" si="61">SUM(D237:D242)</f>
        <v>13769</v>
      </c>
      <c r="E243" s="36">
        <f t="shared" si="61"/>
        <v>9616</v>
      </c>
      <c r="F243" s="36">
        <f t="shared" si="61"/>
        <v>22526</v>
      </c>
      <c r="G243" s="36">
        <f t="shared" si="61"/>
        <v>18116</v>
      </c>
      <c r="H243" s="36">
        <f t="shared" si="61"/>
        <v>16803</v>
      </c>
      <c r="I243" s="36">
        <f t="shared" si="61"/>
        <v>20479</v>
      </c>
      <c r="J243" s="36">
        <f t="shared" si="61"/>
        <v>19185</v>
      </c>
      <c r="K243" s="36">
        <f t="shared" si="61"/>
        <v>15599</v>
      </c>
      <c r="L243" s="36">
        <f>SUM(L237:L242)</f>
        <v>16930</v>
      </c>
      <c r="M243" s="36">
        <f t="shared" si="61"/>
        <v>17028</v>
      </c>
      <c r="N243" s="36">
        <f t="shared" si="61"/>
        <v>22124</v>
      </c>
      <c r="O243" s="36">
        <f t="shared" si="61"/>
        <v>21752</v>
      </c>
      <c r="P243" s="37">
        <f t="shared" si="61"/>
        <v>213927</v>
      </c>
      <c r="Q243"/>
    </row>
    <row r="244" spans="1:17" ht="12.75" hidden="1" customHeight="1" x14ac:dyDescent="0.25">
      <c r="A244"/>
      <c r="B244" s="429" t="s">
        <v>9</v>
      </c>
      <c r="C244" s="174" t="s">
        <v>11</v>
      </c>
      <c r="D244" s="39">
        <v>2648</v>
      </c>
      <c r="E244" s="40">
        <v>1268</v>
      </c>
      <c r="F244" s="40">
        <v>2897</v>
      </c>
      <c r="G244" s="40">
        <v>3075</v>
      </c>
      <c r="H244" s="40">
        <v>3245</v>
      </c>
      <c r="I244" s="40">
        <v>4409</v>
      </c>
      <c r="J244" s="40">
        <v>4475</v>
      </c>
      <c r="K244" s="40">
        <v>1951</v>
      </c>
      <c r="L244" s="40">
        <v>2820</v>
      </c>
      <c r="M244" s="40">
        <v>3254</v>
      </c>
      <c r="N244" s="40">
        <v>3047</v>
      </c>
      <c r="O244" s="40">
        <v>3101</v>
      </c>
      <c r="P244" s="41">
        <f>SUM(D244:O244)</f>
        <v>36190</v>
      </c>
      <c r="Q244"/>
    </row>
    <row r="245" spans="1:17" ht="12.75" hidden="1" customHeight="1" x14ac:dyDescent="0.25">
      <c r="A245"/>
      <c r="B245" s="430"/>
      <c r="C245" s="181" t="s">
        <v>12</v>
      </c>
      <c r="D245" s="25">
        <v>7480</v>
      </c>
      <c r="E245" s="26">
        <v>7875</v>
      </c>
      <c r="F245" s="26">
        <f>8409+765</f>
        <v>9174</v>
      </c>
      <c r="G245" s="26">
        <v>7570</v>
      </c>
      <c r="H245" s="26">
        <v>6322</v>
      </c>
      <c r="I245" s="26">
        <v>7641</v>
      </c>
      <c r="J245" s="26">
        <v>9172</v>
      </c>
      <c r="K245" s="26">
        <v>7118</v>
      </c>
      <c r="L245" s="26">
        <v>8995</v>
      </c>
      <c r="M245" s="26">
        <v>8523</v>
      </c>
      <c r="N245" s="26">
        <v>8062</v>
      </c>
      <c r="O245" s="26">
        <v>7262</v>
      </c>
      <c r="P245" s="27">
        <f>SUM(D245:O245)</f>
        <v>95194</v>
      </c>
      <c r="Q245"/>
    </row>
    <row r="246" spans="1:17" ht="12.75" hidden="1" customHeight="1" thickBot="1" x14ac:dyDescent="0.3">
      <c r="A246"/>
      <c r="B246" s="431"/>
      <c r="C246" s="180" t="s">
        <v>0</v>
      </c>
      <c r="D246" s="43">
        <f t="shared" ref="D246:L246" si="62">SUM(D244:D245)</f>
        <v>10128</v>
      </c>
      <c r="E246" s="43">
        <f t="shared" si="62"/>
        <v>9143</v>
      </c>
      <c r="F246" s="43">
        <f t="shared" si="62"/>
        <v>12071</v>
      </c>
      <c r="G246" s="43">
        <f t="shared" si="62"/>
        <v>10645</v>
      </c>
      <c r="H246" s="43">
        <f t="shared" si="62"/>
        <v>9567</v>
      </c>
      <c r="I246" s="43">
        <f t="shared" si="62"/>
        <v>12050</v>
      </c>
      <c r="J246" s="43">
        <f t="shared" si="62"/>
        <v>13647</v>
      </c>
      <c r="K246" s="43">
        <f t="shared" si="62"/>
        <v>9069</v>
      </c>
      <c r="L246" s="43">
        <f t="shared" si="62"/>
        <v>11815</v>
      </c>
      <c r="M246" s="43">
        <f>SUM(M244:M245)</f>
        <v>11777</v>
      </c>
      <c r="N246" s="43">
        <f>SUM(N244:N245)</f>
        <v>11109</v>
      </c>
      <c r="O246" s="43">
        <f>SUM(O244:O245)</f>
        <v>10363</v>
      </c>
      <c r="P246" s="44">
        <f>SUM(P244:P245)</f>
        <v>131384</v>
      </c>
      <c r="Q246"/>
    </row>
    <row r="247" spans="1:17" ht="12.75" hidden="1" customHeight="1" x14ac:dyDescent="0.25">
      <c r="A247"/>
      <c r="B247" s="429" t="s">
        <v>10</v>
      </c>
      <c r="C247" s="174" t="s">
        <v>13</v>
      </c>
      <c r="D247" s="39">
        <f>152+69+194+116</f>
        <v>531</v>
      </c>
      <c r="E247" s="40">
        <f>240+57+141+130</f>
        <v>568</v>
      </c>
      <c r="F247" s="40">
        <f>152+73+301+131</f>
        <v>657</v>
      </c>
      <c r="G247" s="40">
        <f>193+111+306+116</f>
        <v>726</v>
      </c>
      <c r="H247" s="40">
        <f>200+71+247+122</f>
        <v>640</v>
      </c>
      <c r="I247" s="40">
        <f>253+78+250+101</f>
        <v>682</v>
      </c>
      <c r="J247" s="40">
        <v>477</v>
      </c>
      <c r="K247" s="40">
        <v>359</v>
      </c>
      <c r="L247" s="40">
        <v>453</v>
      </c>
      <c r="M247" s="40">
        <v>596</v>
      </c>
      <c r="N247" s="40">
        <v>592</v>
      </c>
      <c r="O247" s="40">
        <v>556</v>
      </c>
      <c r="P247" s="41">
        <f>SUM(D247:O247)</f>
        <v>6837</v>
      </c>
      <c r="Q247"/>
    </row>
    <row r="248" spans="1:17" ht="12.75" hidden="1" customHeight="1" x14ac:dyDescent="0.25">
      <c r="A248"/>
      <c r="B248" s="430"/>
      <c r="C248" s="181" t="s">
        <v>14</v>
      </c>
      <c r="D248" s="25">
        <f>672+404+396</f>
        <v>1472</v>
      </c>
      <c r="E248" s="26">
        <f>504+315+446</f>
        <v>1265</v>
      </c>
      <c r="F248" s="26">
        <f>891+606+546</f>
        <v>2043</v>
      </c>
      <c r="G248" s="26">
        <f>736+573+93+474</f>
        <v>1876</v>
      </c>
      <c r="H248" s="26">
        <f>732+495+116+417</f>
        <v>1760</v>
      </c>
      <c r="I248" s="26">
        <f>764+456+113+435</f>
        <v>1768</v>
      </c>
      <c r="J248" s="26">
        <v>1744</v>
      </c>
      <c r="K248" s="26">
        <v>1454</v>
      </c>
      <c r="L248" s="26">
        <v>1675</v>
      </c>
      <c r="M248" s="26">
        <v>1719</v>
      </c>
      <c r="N248" s="26">
        <v>1839</v>
      </c>
      <c r="O248" s="26">
        <v>1617</v>
      </c>
      <c r="P248" s="27">
        <f>SUM(D248:O248)</f>
        <v>20232</v>
      </c>
      <c r="Q248"/>
    </row>
    <row r="249" spans="1:17" ht="12.75" hidden="1" customHeight="1" thickBot="1" x14ac:dyDescent="0.3">
      <c r="A249"/>
      <c r="B249" s="431"/>
      <c r="C249" s="180" t="s">
        <v>0</v>
      </c>
      <c r="D249" s="43">
        <f t="shared" ref="D249:P249" si="63">SUM(D247:D248)</f>
        <v>2003</v>
      </c>
      <c r="E249" s="43">
        <f t="shared" si="63"/>
        <v>1833</v>
      </c>
      <c r="F249" s="43">
        <f t="shared" si="63"/>
        <v>2700</v>
      </c>
      <c r="G249" s="43">
        <f t="shared" si="63"/>
        <v>2602</v>
      </c>
      <c r="H249" s="43">
        <f t="shared" si="63"/>
        <v>2400</v>
      </c>
      <c r="I249" s="43">
        <f t="shared" si="63"/>
        <v>2450</v>
      </c>
      <c r="J249" s="43">
        <f>SUM(J247:J248)</f>
        <v>2221</v>
      </c>
      <c r="K249" s="43">
        <f t="shared" si="63"/>
        <v>1813</v>
      </c>
      <c r="L249" s="43">
        <f t="shared" si="63"/>
        <v>2128</v>
      </c>
      <c r="M249" s="43">
        <f t="shared" si="63"/>
        <v>2315</v>
      </c>
      <c r="N249" s="43">
        <f t="shared" si="63"/>
        <v>2431</v>
      </c>
      <c r="O249" s="43">
        <f t="shared" si="63"/>
        <v>2173</v>
      </c>
      <c r="P249" s="44">
        <f t="shared" si="63"/>
        <v>27069</v>
      </c>
      <c r="Q249"/>
    </row>
    <row r="250" spans="1:17" ht="12.75" hidden="1" customHeight="1" x14ac:dyDescent="0.25">
      <c r="A250"/>
      <c r="B250" s="424" t="s">
        <v>4</v>
      </c>
      <c r="C250" s="183" t="s">
        <v>115</v>
      </c>
      <c r="D250" s="155">
        <v>637</v>
      </c>
      <c r="E250" s="155">
        <v>549</v>
      </c>
      <c r="F250" s="155">
        <v>1109</v>
      </c>
      <c r="G250" s="155">
        <v>826</v>
      </c>
      <c r="H250" s="155">
        <v>613</v>
      </c>
      <c r="I250" s="155">
        <v>981</v>
      </c>
      <c r="J250" s="155">
        <v>489</v>
      </c>
      <c r="K250" s="155">
        <v>448</v>
      </c>
      <c r="L250" s="155">
        <v>451</v>
      </c>
      <c r="M250" s="155">
        <v>233</v>
      </c>
      <c r="N250" s="155">
        <v>350</v>
      </c>
      <c r="O250" s="155">
        <v>1224</v>
      </c>
      <c r="P250" s="156">
        <f>SUM(D250:O250)</f>
        <v>7910</v>
      </c>
      <c r="Q250"/>
    </row>
    <row r="251" spans="1:17" ht="12.75" hidden="1" customHeight="1" x14ac:dyDescent="0.25">
      <c r="A251"/>
      <c r="B251" s="425"/>
      <c r="C251" s="184" t="s">
        <v>117</v>
      </c>
      <c r="D251" s="131">
        <v>1186</v>
      </c>
      <c r="E251" s="131">
        <v>783</v>
      </c>
      <c r="F251" s="131">
        <f>546+71</f>
        <v>617</v>
      </c>
      <c r="G251" s="131">
        <v>4416</v>
      </c>
      <c r="H251" s="131">
        <v>7582</v>
      </c>
      <c r="I251" s="131">
        <v>7905</v>
      </c>
      <c r="J251" s="131">
        <v>6504</v>
      </c>
      <c r="K251" s="131">
        <v>4100</v>
      </c>
      <c r="L251" s="131">
        <v>6040</v>
      </c>
      <c r="M251" s="131">
        <v>5268</v>
      </c>
      <c r="N251" s="131">
        <v>5019</v>
      </c>
      <c r="O251" s="131">
        <v>6730</v>
      </c>
      <c r="P251" s="132">
        <f>SUM(D251:O251)</f>
        <v>56150</v>
      </c>
      <c r="Q251"/>
    </row>
    <row r="252" spans="1:17" ht="10.95" hidden="1" customHeight="1" x14ac:dyDescent="0.25">
      <c r="A252"/>
      <c r="B252" s="425"/>
      <c r="C252" s="176" t="s">
        <v>131</v>
      </c>
      <c r="D252" s="29">
        <v>830</v>
      </c>
      <c r="E252" s="30">
        <v>683</v>
      </c>
      <c r="F252" s="30">
        <v>1209</v>
      </c>
      <c r="G252" s="30">
        <v>651</v>
      </c>
      <c r="H252" s="30">
        <v>601</v>
      </c>
      <c r="I252" s="30">
        <v>701</v>
      </c>
      <c r="J252" s="30">
        <v>1117</v>
      </c>
      <c r="K252" s="30">
        <v>704</v>
      </c>
      <c r="L252" s="30">
        <v>882</v>
      </c>
      <c r="M252" s="30">
        <v>915</v>
      </c>
      <c r="N252" s="30">
        <v>925</v>
      </c>
      <c r="O252" s="30">
        <v>791</v>
      </c>
      <c r="P252" s="31">
        <f>SUM(D252:O252)</f>
        <v>10009</v>
      </c>
      <c r="Q252"/>
    </row>
    <row r="253" spans="1:17" hidden="1" x14ac:dyDescent="0.25">
      <c r="A253"/>
      <c r="B253" s="425"/>
      <c r="C253" s="176" t="s">
        <v>161</v>
      </c>
      <c r="D253" s="29">
        <v>0</v>
      </c>
      <c r="E253" s="30">
        <v>0</v>
      </c>
      <c r="F253" s="30">
        <v>0</v>
      </c>
      <c r="G253" s="30">
        <v>0</v>
      </c>
      <c r="H253" s="30">
        <v>0</v>
      </c>
      <c r="I253" s="30">
        <v>0</v>
      </c>
      <c r="J253" s="30">
        <v>0</v>
      </c>
      <c r="K253" s="30">
        <v>0</v>
      </c>
      <c r="L253" s="30">
        <v>0</v>
      </c>
      <c r="M253" s="30">
        <v>0</v>
      </c>
      <c r="N253" s="30">
        <v>15</v>
      </c>
      <c r="O253" s="30">
        <v>83</v>
      </c>
      <c r="P253" s="31">
        <f>SUM(D253:O253)</f>
        <v>98</v>
      </c>
    </row>
    <row r="254" spans="1:17" ht="9.75" hidden="1" customHeight="1" x14ac:dyDescent="0.25">
      <c r="A254"/>
      <c r="B254" s="425"/>
      <c r="C254" s="176" t="s">
        <v>148</v>
      </c>
      <c r="D254" s="29">
        <v>347</v>
      </c>
      <c r="E254" s="30">
        <v>1176</v>
      </c>
      <c r="F254" s="30">
        <v>3268</v>
      </c>
      <c r="G254" s="30">
        <v>4324</v>
      </c>
      <c r="H254" s="30">
        <v>4164</v>
      </c>
      <c r="I254" s="30">
        <v>3728</v>
      </c>
      <c r="J254" s="30">
        <v>3009</v>
      </c>
      <c r="K254" s="30">
        <v>1810</v>
      </c>
      <c r="L254" s="30">
        <v>2918</v>
      </c>
      <c r="M254" s="30">
        <v>2743</v>
      </c>
      <c r="N254" s="30">
        <v>3258</v>
      </c>
      <c r="O254" s="30">
        <v>3472</v>
      </c>
      <c r="P254" s="31">
        <f>SUM(D254:O254)</f>
        <v>34217</v>
      </c>
    </row>
    <row r="255" spans="1:17" ht="9.75" hidden="1" customHeight="1" thickBot="1" x14ac:dyDescent="0.3">
      <c r="A255"/>
      <c r="B255" s="426"/>
      <c r="C255" s="42" t="s">
        <v>0</v>
      </c>
      <c r="D255" s="43">
        <f>SUM(D250:D254)</f>
        <v>3000</v>
      </c>
      <c r="E255" s="43">
        <f t="shared" ref="E255:P255" si="64">SUM(E250:E254)</f>
        <v>3191</v>
      </c>
      <c r="F255" s="43">
        <f t="shared" si="64"/>
        <v>6203</v>
      </c>
      <c r="G255" s="43">
        <f t="shared" si="64"/>
        <v>10217</v>
      </c>
      <c r="H255" s="43">
        <f t="shared" si="64"/>
        <v>12960</v>
      </c>
      <c r="I255" s="43">
        <f t="shared" si="64"/>
        <v>13315</v>
      </c>
      <c r="J255" s="43">
        <f t="shared" si="64"/>
        <v>11119</v>
      </c>
      <c r="K255" s="43">
        <f t="shared" si="64"/>
        <v>7062</v>
      </c>
      <c r="L255" s="43">
        <f t="shared" si="64"/>
        <v>10291</v>
      </c>
      <c r="M255" s="43">
        <f t="shared" si="64"/>
        <v>9159</v>
      </c>
      <c r="N255" s="43">
        <f t="shared" si="64"/>
        <v>9567</v>
      </c>
      <c r="O255" s="43">
        <f t="shared" si="64"/>
        <v>12300</v>
      </c>
      <c r="P255" s="43">
        <f t="shared" si="64"/>
        <v>108384</v>
      </c>
    </row>
    <row r="256" spans="1:17" ht="9.75" hidden="1" customHeight="1" thickBot="1" x14ac:dyDescent="0.3">
      <c r="A256"/>
      <c r="B256" s="442" t="s">
        <v>2</v>
      </c>
      <c r="C256" s="443"/>
      <c r="D256" s="45">
        <f t="shared" ref="D256:O256" si="65">D236+D243+D249+D246+D255</f>
        <v>47591</v>
      </c>
      <c r="E256" s="45">
        <f t="shared" si="65"/>
        <v>39290</v>
      </c>
      <c r="F256" s="45">
        <f t="shared" si="65"/>
        <v>72180</v>
      </c>
      <c r="G256" s="45">
        <f t="shared" si="65"/>
        <v>71042</v>
      </c>
      <c r="H256" s="45">
        <f t="shared" si="65"/>
        <v>70810</v>
      </c>
      <c r="I256" s="45">
        <f t="shared" si="65"/>
        <v>83700</v>
      </c>
      <c r="J256" s="45">
        <f>J236+J243+J249+J246+J255</f>
        <v>77381</v>
      </c>
      <c r="K256" s="45">
        <f t="shared" si="65"/>
        <v>54590</v>
      </c>
      <c r="L256" s="45">
        <f t="shared" si="65"/>
        <v>67080</v>
      </c>
      <c r="M256" s="45">
        <f t="shared" si="65"/>
        <v>65669</v>
      </c>
      <c r="N256" s="45">
        <f t="shared" si="65"/>
        <v>70035</v>
      </c>
      <c r="O256" s="45">
        <f t="shared" si="65"/>
        <v>68486</v>
      </c>
      <c r="P256" s="45">
        <f>SUM(P236,P243,P255,P246,P249)</f>
        <v>787854</v>
      </c>
    </row>
    <row r="257" spans="1:17" ht="4.5" hidden="1" customHeight="1" x14ac:dyDescent="0.25">
      <c r="A257"/>
      <c r="J257" s="115"/>
      <c r="Q257"/>
    </row>
    <row r="258" spans="1:17" hidden="1" x14ac:dyDescent="0.25">
      <c r="A258"/>
      <c r="B258" s="81" t="s">
        <v>24</v>
      </c>
      <c r="C258" s="82"/>
      <c r="D258" s="83">
        <f>SUM(D259:D261)</f>
        <v>2638</v>
      </c>
      <c r="E258" s="83">
        <f t="shared" ref="E258:O258" si="66">SUM(E259:E261)</f>
        <v>2575</v>
      </c>
      <c r="F258" s="83">
        <f t="shared" si="66"/>
        <v>3886</v>
      </c>
      <c r="G258" s="83">
        <f t="shared" si="66"/>
        <v>8249</v>
      </c>
      <c r="H258" s="83">
        <f t="shared" si="66"/>
        <v>9382</v>
      </c>
      <c r="I258" s="83">
        <f t="shared" si="66"/>
        <v>10875</v>
      </c>
      <c r="J258" s="83">
        <f t="shared" si="66"/>
        <v>11037</v>
      </c>
      <c r="K258" s="83">
        <f t="shared" si="66"/>
        <v>5792</v>
      </c>
      <c r="L258" s="83">
        <f t="shared" si="66"/>
        <v>9136</v>
      </c>
      <c r="M258" s="83">
        <f t="shared" si="66"/>
        <v>8316</v>
      </c>
      <c r="N258" s="83">
        <f t="shared" si="66"/>
        <v>7477</v>
      </c>
      <c r="O258" s="83">
        <f t="shared" si="66"/>
        <v>8368</v>
      </c>
      <c r="P258" s="84">
        <f>SUM(P259:P261)</f>
        <v>87731</v>
      </c>
    </row>
    <row r="259" spans="1:17" ht="9.75" hidden="1" customHeight="1" x14ac:dyDescent="0.25">
      <c r="A259"/>
      <c r="B259" s="85"/>
      <c r="C259" s="86" t="s">
        <v>152</v>
      </c>
      <c r="D259" s="99">
        <v>2638</v>
      </c>
      <c r="E259" s="99">
        <v>2575</v>
      </c>
      <c r="F259" s="87">
        <v>3886</v>
      </c>
      <c r="G259" s="100">
        <v>802</v>
      </c>
      <c r="H259" s="87">
        <v>413</v>
      </c>
      <c r="I259" s="97">
        <v>31</v>
      </c>
      <c r="J259" s="97">
        <v>1</v>
      </c>
      <c r="K259" s="87">
        <v>0</v>
      </c>
      <c r="L259" s="87">
        <v>0</v>
      </c>
      <c r="M259" s="87">
        <v>0</v>
      </c>
      <c r="N259" s="87">
        <v>0</v>
      </c>
      <c r="O259" s="87">
        <v>0</v>
      </c>
      <c r="P259" s="88">
        <f>SUM(D259:O259)</f>
        <v>10346</v>
      </c>
    </row>
    <row r="260" spans="1:17" ht="9.75" hidden="1" customHeight="1" x14ac:dyDescent="0.25">
      <c r="A260"/>
      <c r="B260" s="85"/>
      <c r="C260" s="86" t="s">
        <v>153</v>
      </c>
      <c r="D260" s="99">
        <v>0</v>
      </c>
      <c r="E260" s="99">
        <v>0</v>
      </c>
      <c r="F260" s="87">
        <v>0</v>
      </c>
      <c r="G260" s="100">
        <v>7447</v>
      </c>
      <c r="H260" s="87">
        <v>8969</v>
      </c>
      <c r="I260" s="97">
        <v>10844</v>
      </c>
      <c r="J260" s="98">
        <v>11036</v>
      </c>
      <c r="K260" s="90">
        <v>5751</v>
      </c>
      <c r="L260" s="90">
        <v>8241</v>
      </c>
      <c r="M260" s="90">
        <v>7454</v>
      </c>
      <c r="N260" s="90">
        <v>6713</v>
      </c>
      <c r="O260" s="90">
        <v>7605</v>
      </c>
      <c r="P260" s="88">
        <f>SUM(D260:O260)</f>
        <v>74060</v>
      </c>
    </row>
    <row r="261" spans="1:17" ht="8.4" hidden="1" customHeight="1" x14ac:dyDescent="0.25">
      <c r="A261"/>
      <c r="B261" s="89"/>
      <c r="C261" s="86" t="s">
        <v>154</v>
      </c>
      <c r="D261" s="87">
        <v>0</v>
      </c>
      <c r="E261" s="87">
        <v>0</v>
      </c>
      <c r="F261" s="87">
        <v>0</v>
      </c>
      <c r="G261" s="87">
        <v>0</v>
      </c>
      <c r="H261" s="87">
        <v>0</v>
      </c>
      <c r="I261" s="87">
        <v>0</v>
      </c>
      <c r="J261" s="87">
        <v>0</v>
      </c>
      <c r="K261" s="87">
        <v>41</v>
      </c>
      <c r="L261" s="87">
        <v>895</v>
      </c>
      <c r="M261" s="87">
        <v>862</v>
      </c>
      <c r="N261" s="87">
        <v>764</v>
      </c>
      <c r="O261" s="87">
        <v>763</v>
      </c>
      <c r="P261" s="88">
        <f>SUM(D261:O261)</f>
        <v>3325</v>
      </c>
      <c r="Q261"/>
    </row>
    <row r="262" spans="1:17" ht="8.4" hidden="1" customHeight="1" x14ac:dyDescent="0.25">
      <c r="A262"/>
      <c r="J262" s="115"/>
    </row>
    <row r="263" spans="1:17" ht="9.9" hidden="1" customHeight="1" x14ac:dyDescent="0.25">
      <c r="A263"/>
      <c r="B263" s="81" t="s">
        <v>68</v>
      </c>
      <c r="C263" s="82"/>
      <c r="D263" s="83">
        <f t="shared" ref="D263:P263" si="67">SUM(D264:D265)</f>
        <v>164</v>
      </c>
      <c r="E263" s="83">
        <f t="shared" si="67"/>
        <v>188</v>
      </c>
      <c r="F263" s="83">
        <f t="shared" si="67"/>
        <v>685</v>
      </c>
      <c r="G263" s="83">
        <f t="shared" si="67"/>
        <v>555</v>
      </c>
      <c r="H263" s="83">
        <f t="shared" si="67"/>
        <v>183</v>
      </c>
      <c r="I263" s="83">
        <f t="shared" si="67"/>
        <v>280</v>
      </c>
      <c r="J263" s="83">
        <f t="shared" si="67"/>
        <v>268</v>
      </c>
      <c r="K263" s="83">
        <f t="shared" si="67"/>
        <v>264</v>
      </c>
      <c r="L263" s="83">
        <f t="shared" si="67"/>
        <v>233</v>
      </c>
      <c r="M263" s="83">
        <f t="shared" si="67"/>
        <v>234</v>
      </c>
      <c r="N263" s="83">
        <f t="shared" si="67"/>
        <v>540</v>
      </c>
      <c r="O263" s="83">
        <f t="shared" si="67"/>
        <v>21</v>
      </c>
      <c r="P263" s="84">
        <f t="shared" si="67"/>
        <v>3615</v>
      </c>
    </row>
    <row r="264" spans="1:17" ht="9.9" hidden="1" customHeight="1" x14ac:dyDescent="0.25">
      <c r="A264"/>
      <c r="B264" s="85"/>
      <c r="C264" s="86" t="s">
        <v>143</v>
      </c>
      <c r="D264" s="99">
        <v>2</v>
      </c>
      <c r="E264" s="99">
        <v>104</v>
      </c>
      <c r="F264" s="87">
        <v>276</v>
      </c>
      <c r="G264" s="100">
        <v>121</v>
      </c>
      <c r="H264" s="87">
        <v>83</v>
      </c>
      <c r="I264" s="97">
        <v>152</v>
      </c>
      <c r="J264" s="97">
        <v>181</v>
      </c>
      <c r="K264" s="87">
        <v>189</v>
      </c>
      <c r="L264" s="87">
        <v>166</v>
      </c>
      <c r="M264" s="87">
        <v>103</v>
      </c>
      <c r="N264" s="87">
        <v>121</v>
      </c>
      <c r="O264" s="87">
        <v>11</v>
      </c>
      <c r="P264" s="88">
        <f>SUM(D264:O264)</f>
        <v>1509</v>
      </c>
    </row>
    <row r="265" spans="1:17" ht="9.9" hidden="1" customHeight="1" x14ac:dyDescent="0.25">
      <c r="A265"/>
      <c r="B265" s="89"/>
      <c r="C265" s="86" t="s">
        <v>142</v>
      </c>
      <c r="D265" s="99">
        <v>162</v>
      </c>
      <c r="E265" s="99">
        <v>84</v>
      </c>
      <c r="F265" s="87">
        <v>409</v>
      </c>
      <c r="G265" s="100">
        <v>434</v>
      </c>
      <c r="H265" s="87">
        <v>100</v>
      </c>
      <c r="I265" s="97">
        <v>128</v>
      </c>
      <c r="J265" s="98">
        <v>87</v>
      </c>
      <c r="K265" s="90">
        <v>75</v>
      </c>
      <c r="L265" s="90">
        <v>67</v>
      </c>
      <c r="M265" s="90">
        <v>131</v>
      </c>
      <c r="N265" s="90">
        <v>419</v>
      </c>
      <c r="O265" s="90">
        <v>10</v>
      </c>
      <c r="P265" s="88">
        <f>SUM(D265:O265)</f>
        <v>2106</v>
      </c>
    </row>
    <row r="266" spans="1:17" ht="9.9" hidden="1" customHeight="1" x14ac:dyDescent="0.25">
      <c r="A266"/>
      <c r="J266" s="115"/>
    </row>
    <row r="267" spans="1:17" ht="9.6" hidden="1" customHeight="1" x14ac:dyDescent="0.25">
      <c r="A267"/>
      <c r="B267" s="92" t="s">
        <v>25</v>
      </c>
      <c r="C267" s="93"/>
      <c r="D267" s="83">
        <f>D268+D269+D271+D270</f>
        <v>6423</v>
      </c>
      <c r="E267" s="83">
        <f t="shared" ref="E267:P267" si="68">E268+E269+E271+E270</f>
        <v>5022</v>
      </c>
      <c r="F267" s="83">
        <f t="shared" si="68"/>
        <v>7253</v>
      </c>
      <c r="G267" s="83">
        <f t="shared" si="68"/>
        <v>5385</v>
      </c>
      <c r="H267" s="83">
        <f t="shared" si="68"/>
        <v>5827</v>
      </c>
      <c r="I267" s="83">
        <f t="shared" si="68"/>
        <v>8063</v>
      </c>
      <c r="J267" s="83">
        <f t="shared" si="68"/>
        <v>5213</v>
      </c>
      <c r="K267" s="83">
        <f t="shared" si="68"/>
        <v>4595</v>
      </c>
      <c r="L267" s="83">
        <f t="shared" si="68"/>
        <v>4589</v>
      </c>
      <c r="M267" s="83">
        <f t="shared" si="68"/>
        <v>5670</v>
      </c>
      <c r="N267" s="83">
        <f t="shared" si="68"/>
        <v>5038</v>
      </c>
      <c r="O267" s="83">
        <f t="shared" si="68"/>
        <v>4362</v>
      </c>
      <c r="P267" s="83">
        <f t="shared" si="68"/>
        <v>67440</v>
      </c>
    </row>
    <row r="268" spans="1:17" hidden="1" x14ac:dyDescent="0.25">
      <c r="A268"/>
      <c r="B268" s="85"/>
      <c r="C268" s="86" t="s">
        <v>52</v>
      </c>
      <c r="D268" s="122">
        <v>1668</v>
      </c>
      <c r="E268" s="122">
        <v>1783</v>
      </c>
      <c r="F268" s="122">
        <v>1729</v>
      </c>
      <c r="G268" s="87">
        <v>1451</v>
      </c>
      <c r="H268" s="87">
        <v>1597</v>
      </c>
      <c r="I268" s="87">
        <v>1875</v>
      </c>
      <c r="J268" s="87">
        <v>1644</v>
      </c>
      <c r="K268" s="87">
        <v>1447</v>
      </c>
      <c r="L268" s="87">
        <v>1515</v>
      </c>
      <c r="M268" s="87">
        <v>1742</v>
      </c>
      <c r="N268" s="87">
        <v>1507</v>
      </c>
      <c r="O268" s="87">
        <v>1415</v>
      </c>
      <c r="P268" s="88">
        <f>SUM(D268:O268)</f>
        <v>19373</v>
      </c>
    </row>
    <row r="269" spans="1:17" ht="9.75" hidden="1" customHeight="1" x14ac:dyDescent="0.25">
      <c r="A269"/>
      <c r="B269" s="85"/>
      <c r="C269" s="128" t="s">
        <v>141</v>
      </c>
      <c r="D269" s="122">
        <v>0</v>
      </c>
      <c r="E269" s="122">
        <v>0</v>
      </c>
      <c r="F269" s="122">
        <v>0</v>
      </c>
      <c r="G269" s="122">
        <v>0</v>
      </c>
      <c r="H269" s="122">
        <v>0</v>
      </c>
      <c r="I269" s="122">
        <v>0</v>
      </c>
      <c r="J269" s="122">
        <v>0</v>
      </c>
      <c r="K269" s="122">
        <v>0</v>
      </c>
      <c r="L269" s="122">
        <v>0</v>
      </c>
      <c r="M269" s="122">
        <v>0</v>
      </c>
      <c r="N269" s="122">
        <v>0</v>
      </c>
      <c r="O269" s="90">
        <v>0</v>
      </c>
      <c r="P269" s="88">
        <f>SUM(D269:O269)</f>
        <v>0</v>
      </c>
    </row>
    <row r="270" spans="1:17" ht="9.75" hidden="1" customHeight="1" x14ac:dyDescent="0.25">
      <c r="A270"/>
      <c r="B270" s="85"/>
      <c r="C270" s="86" t="s">
        <v>136</v>
      </c>
      <c r="D270" s="87">
        <v>3743</v>
      </c>
      <c r="E270" s="87">
        <v>3044</v>
      </c>
      <c r="F270" s="87">
        <v>4804</v>
      </c>
      <c r="G270" s="87">
        <v>3341</v>
      </c>
      <c r="H270" s="87">
        <v>2924</v>
      </c>
      <c r="I270" s="87">
        <v>5123</v>
      </c>
      <c r="J270" s="87">
        <v>2942</v>
      </c>
      <c r="K270" s="87">
        <v>2604</v>
      </c>
      <c r="L270" s="87">
        <v>2385</v>
      </c>
      <c r="M270" s="87">
        <v>3333</v>
      </c>
      <c r="N270" s="87">
        <v>2433</v>
      </c>
      <c r="O270" s="87">
        <v>2182</v>
      </c>
      <c r="P270" s="88">
        <f>SUM(D270:O270)</f>
        <v>38858</v>
      </c>
    </row>
    <row r="271" spans="1:17" ht="10.199999999999999" hidden="1" customHeight="1" x14ac:dyDescent="0.25">
      <c r="A271"/>
      <c r="B271" s="89"/>
      <c r="C271" s="86" t="s">
        <v>139</v>
      </c>
      <c r="D271" s="87">
        <v>1012</v>
      </c>
      <c r="E271" s="87">
        <v>195</v>
      </c>
      <c r="F271" s="87">
        <v>720</v>
      </c>
      <c r="G271" s="87">
        <v>593</v>
      </c>
      <c r="H271" s="87">
        <v>1306</v>
      </c>
      <c r="I271" s="87">
        <v>1065</v>
      </c>
      <c r="J271" s="87">
        <v>627</v>
      </c>
      <c r="K271" s="87">
        <v>544</v>
      </c>
      <c r="L271" s="87">
        <v>689</v>
      </c>
      <c r="M271" s="87">
        <v>595</v>
      </c>
      <c r="N271" s="87">
        <v>1098</v>
      </c>
      <c r="O271" s="87">
        <v>765</v>
      </c>
      <c r="P271" s="88">
        <f>SUM(D271:O271)</f>
        <v>9209</v>
      </c>
    </row>
    <row r="272" spans="1:17" ht="9.9" hidden="1" customHeight="1" x14ac:dyDescent="0.25">
      <c r="A272"/>
      <c r="B272" s="101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6"/>
    </row>
    <row r="273" spans="1:17" ht="9.9" hidden="1" customHeight="1" x14ac:dyDescent="0.25">
      <c r="A273"/>
      <c r="B273" s="81" t="s">
        <v>27</v>
      </c>
      <c r="C273" s="82"/>
      <c r="D273" s="83">
        <f t="shared" ref="D273:P273" si="69">SUM(D274:D275)</f>
        <v>9350</v>
      </c>
      <c r="E273" s="83">
        <f t="shared" si="69"/>
        <v>7550</v>
      </c>
      <c r="F273" s="83">
        <f t="shared" si="69"/>
        <v>16600</v>
      </c>
      <c r="G273" s="83">
        <f t="shared" si="69"/>
        <v>15000</v>
      </c>
      <c r="H273" s="83">
        <f t="shared" si="69"/>
        <v>13416</v>
      </c>
      <c r="I273" s="83">
        <f t="shared" si="69"/>
        <v>15688</v>
      </c>
      <c r="J273" s="83">
        <f t="shared" si="69"/>
        <v>14381</v>
      </c>
      <c r="K273" s="83">
        <f t="shared" si="69"/>
        <v>10235</v>
      </c>
      <c r="L273" s="83">
        <f t="shared" si="69"/>
        <v>11590</v>
      </c>
      <c r="M273" s="83">
        <f t="shared" si="69"/>
        <v>10926</v>
      </c>
      <c r="N273" s="83">
        <f t="shared" si="69"/>
        <v>11648</v>
      </c>
      <c r="O273" s="83">
        <f t="shared" si="69"/>
        <v>9079</v>
      </c>
      <c r="P273" s="83">
        <f t="shared" si="69"/>
        <v>145463</v>
      </c>
    </row>
    <row r="274" spans="1:17" ht="9.9" hidden="1" customHeight="1" x14ac:dyDescent="0.25">
      <c r="A274"/>
      <c r="B274" s="85"/>
      <c r="C274" s="147" t="s">
        <v>79</v>
      </c>
      <c r="D274" s="148">
        <v>6883</v>
      </c>
      <c r="E274" s="148">
        <v>6708</v>
      </c>
      <c r="F274" s="149">
        <v>13568</v>
      </c>
      <c r="G274" s="150">
        <v>11566</v>
      </c>
      <c r="H274" s="149">
        <v>10343</v>
      </c>
      <c r="I274" s="151">
        <v>11651</v>
      </c>
      <c r="J274" s="151">
        <f>10310+453</f>
        <v>10763</v>
      </c>
      <c r="K274" s="149">
        <v>7019</v>
      </c>
      <c r="L274" s="149">
        <v>7372</v>
      </c>
      <c r="M274" s="149">
        <v>6735</v>
      </c>
      <c r="N274" s="149">
        <v>8142</v>
      </c>
      <c r="O274" s="149">
        <v>5724</v>
      </c>
      <c r="P274" s="152">
        <f>SUM(D274:O274)</f>
        <v>106474</v>
      </c>
    </row>
    <row r="275" spans="1:17" ht="9.9" hidden="1" customHeight="1" x14ac:dyDescent="0.25">
      <c r="A275"/>
      <c r="B275" s="89"/>
      <c r="C275" s="86" t="s">
        <v>140</v>
      </c>
      <c r="D275" s="99">
        <v>2467</v>
      </c>
      <c r="E275" s="99">
        <v>842</v>
      </c>
      <c r="F275" s="87">
        <v>3032</v>
      </c>
      <c r="G275" s="100">
        <v>3434</v>
      </c>
      <c r="H275" s="87">
        <v>3073</v>
      </c>
      <c r="I275" s="97">
        <v>4037</v>
      </c>
      <c r="J275" s="98">
        <v>3618</v>
      </c>
      <c r="K275" s="90">
        <v>3216</v>
      </c>
      <c r="L275" s="90">
        <v>4218</v>
      </c>
      <c r="M275" s="90">
        <v>4191</v>
      </c>
      <c r="N275" s="90">
        <v>3506</v>
      </c>
      <c r="O275" s="90">
        <v>3355</v>
      </c>
      <c r="P275" s="88">
        <f>SUM(D275:O275)</f>
        <v>38989</v>
      </c>
    </row>
    <row r="276" spans="1:17" s="207" customFormat="1" ht="8.4" hidden="1" customHeight="1" x14ac:dyDescent="0.25">
      <c r="A276"/>
      <c r="B276" s="101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6"/>
      <c r="Q276" s="206"/>
    </row>
    <row r="277" spans="1:17" ht="9.9" hidden="1" customHeight="1" x14ac:dyDescent="0.25">
      <c r="B277" s="81" t="s">
        <v>113</v>
      </c>
      <c r="C277" s="82"/>
      <c r="D277" s="83">
        <f t="shared" ref="D277:P277" si="70">SUM(D278:D280)</f>
        <v>1835</v>
      </c>
      <c r="E277" s="83">
        <f t="shared" si="70"/>
        <v>1459</v>
      </c>
      <c r="F277" s="83">
        <f t="shared" si="70"/>
        <v>5006</v>
      </c>
      <c r="G277" s="83">
        <f t="shared" si="70"/>
        <v>4288</v>
      </c>
      <c r="H277" s="83">
        <f t="shared" si="70"/>
        <v>2913</v>
      </c>
      <c r="I277" s="83">
        <f t="shared" si="70"/>
        <v>3076</v>
      </c>
      <c r="J277" s="83">
        <f t="shared" si="70"/>
        <v>2922</v>
      </c>
      <c r="K277" s="83">
        <f t="shared" si="70"/>
        <v>1574</v>
      </c>
      <c r="L277" s="83">
        <f t="shared" si="70"/>
        <v>3109</v>
      </c>
      <c r="M277" s="83">
        <f t="shared" si="70"/>
        <v>1793</v>
      </c>
      <c r="N277" s="83">
        <f t="shared" si="70"/>
        <v>2217</v>
      </c>
      <c r="O277" s="83">
        <f t="shared" si="70"/>
        <v>1710</v>
      </c>
      <c r="P277" s="84">
        <f t="shared" si="70"/>
        <v>31902</v>
      </c>
    </row>
    <row r="278" spans="1:17" ht="9.9" hidden="1" customHeight="1" x14ac:dyDescent="0.25">
      <c r="B278" s="85"/>
      <c r="C278" s="86" t="s">
        <v>128</v>
      </c>
      <c r="D278" s="99">
        <v>1372</v>
      </c>
      <c r="E278" s="99">
        <v>1177</v>
      </c>
      <c r="F278" s="87">
        <v>2918</v>
      </c>
      <c r="G278" s="100">
        <v>2116</v>
      </c>
      <c r="H278" s="87">
        <v>1416</v>
      </c>
      <c r="I278" s="97">
        <v>1776</v>
      </c>
      <c r="J278" s="98">
        <v>1503</v>
      </c>
      <c r="K278" s="90">
        <v>533</v>
      </c>
      <c r="L278" s="90">
        <v>1541</v>
      </c>
      <c r="M278" s="90">
        <v>1154</v>
      </c>
      <c r="N278" s="90">
        <v>1330</v>
      </c>
      <c r="O278" s="90">
        <v>1054</v>
      </c>
      <c r="P278" s="88">
        <f>SUM(D278:O278)</f>
        <v>17890</v>
      </c>
    </row>
    <row r="279" spans="1:17" ht="9.9" hidden="1" customHeight="1" x14ac:dyDescent="0.25">
      <c r="B279" s="85"/>
      <c r="C279" s="86" t="s">
        <v>143</v>
      </c>
      <c r="D279" s="99">
        <v>35</v>
      </c>
      <c r="E279" s="99">
        <v>213</v>
      </c>
      <c r="F279" s="87">
        <v>1391</v>
      </c>
      <c r="G279" s="100">
        <v>1232</v>
      </c>
      <c r="H279" s="87">
        <v>531</v>
      </c>
      <c r="I279" s="97">
        <v>737</v>
      </c>
      <c r="J279" s="97">
        <v>999</v>
      </c>
      <c r="K279" s="87">
        <v>870</v>
      </c>
      <c r="L279" s="87">
        <v>1053</v>
      </c>
      <c r="M279" s="87">
        <v>451</v>
      </c>
      <c r="N279" s="87">
        <v>376</v>
      </c>
      <c r="O279" s="87">
        <v>178</v>
      </c>
      <c r="P279" s="88">
        <f>SUM(D279:O279)</f>
        <v>8066</v>
      </c>
    </row>
    <row r="280" spans="1:17" ht="9.6" hidden="1" customHeight="1" x14ac:dyDescent="0.25">
      <c r="B280" s="89"/>
      <c r="C280" s="86" t="s">
        <v>142</v>
      </c>
      <c r="D280" s="99">
        <v>428</v>
      </c>
      <c r="E280" s="99">
        <v>69</v>
      </c>
      <c r="F280" s="87">
        <v>697</v>
      </c>
      <c r="G280" s="100">
        <v>940</v>
      </c>
      <c r="H280" s="87">
        <v>966</v>
      </c>
      <c r="I280" s="97">
        <v>563</v>
      </c>
      <c r="J280" s="97">
        <v>420</v>
      </c>
      <c r="K280" s="87">
        <v>171</v>
      </c>
      <c r="L280" s="87">
        <v>515</v>
      </c>
      <c r="M280" s="87">
        <v>188</v>
      </c>
      <c r="N280" s="87">
        <v>511</v>
      </c>
      <c r="O280" s="87">
        <v>478</v>
      </c>
      <c r="P280" s="88">
        <f>SUM(D280:O280)</f>
        <v>5946</v>
      </c>
    </row>
    <row r="281" spans="1:17" s="207" customFormat="1" ht="9.6" hidden="1" customHeight="1" x14ac:dyDescent="0.25">
      <c r="A281" s="202"/>
      <c r="B281" s="101"/>
      <c r="C281" s="101"/>
      <c r="D281" s="203"/>
      <c r="E281" s="203"/>
      <c r="F281" s="203"/>
      <c r="G281" s="203"/>
      <c r="H281" s="203"/>
      <c r="I281" s="203"/>
      <c r="J281" s="203"/>
      <c r="K281" s="203"/>
      <c r="L281" s="203"/>
      <c r="M281" s="203"/>
      <c r="N281" s="203"/>
      <c r="O281" s="203"/>
      <c r="P281" s="205"/>
      <c r="Q281" s="206"/>
    </row>
    <row r="282" spans="1:17" ht="9.9" hidden="1" customHeight="1" x14ac:dyDescent="0.25">
      <c r="B282" s="81" t="s">
        <v>59</v>
      </c>
      <c r="C282" s="82"/>
      <c r="D282" s="83">
        <f t="shared" ref="D282:P282" si="71">SUM(D283:D285)</f>
        <v>1766</v>
      </c>
      <c r="E282" s="83">
        <f t="shared" si="71"/>
        <v>1534</v>
      </c>
      <c r="F282" s="83">
        <f t="shared" si="71"/>
        <v>2612</v>
      </c>
      <c r="G282" s="83">
        <f t="shared" si="71"/>
        <v>1718</v>
      </c>
      <c r="H282" s="83">
        <f t="shared" si="71"/>
        <v>2353</v>
      </c>
      <c r="I282" s="83">
        <f t="shared" si="71"/>
        <v>3115</v>
      </c>
      <c r="J282" s="83">
        <f t="shared" si="71"/>
        <v>1686</v>
      </c>
      <c r="K282" s="83">
        <f t="shared" si="71"/>
        <v>1664</v>
      </c>
      <c r="L282" s="83">
        <f t="shared" si="71"/>
        <v>2196</v>
      </c>
      <c r="M282" s="83">
        <f t="shared" si="71"/>
        <v>3063</v>
      </c>
      <c r="N282" s="83">
        <f t="shared" si="71"/>
        <v>7490</v>
      </c>
      <c r="O282" s="83">
        <f t="shared" si="71"/>
        <v>6947</v>
      </c>
      <c r="P282" s="84">
        <f t="shared" si="71"/>
        <v>36144</v>
      </c>
    </row>
    <row r="283" spans="1:17" ht="9.9" hidden="1" customHeight="1" x14ac:dyDescent="0.25">
      <c r="B283" s="85"/>
      <c r="C283" s="86" t="s">
        <v>155</v>
      </c>
      <c r="D283" s="99">
        <v>1766</v>
      </c>
      <c r="E283" s="99">
        <v>1534</v>
      </c>
      <c r="F283" s="87">
        <v>2612</v>
      </c>
      <c r="G283" s="100">
        <v>1718</v>
      </c>
      <c r="H283" s="87">
        <v>2353</v>
      </c>
      <c r="I283" s="97">
        <v>3115</v>
      </c>
      <c r="J283" s="98">
        <v>1686</v>
      </c>
      <c r="K283" s="90">
        <v>1664</v>
      </c>
      <c r="L283" s="90">
        <v>2191</v>
      </c>
      <c r="M283" s="90">
        <v>2221</v>
      </c>
      <c r="N283" s="90">
        <v>1276</v>
      </c>
      <c r="O283" s="90">
        <v>43</v>
      </c>
      <c r="P283" s="88">
        <f>SUM(D283:O283)</f>
        <v>22179</v>
      </c>
    </row>
    <row r="284" spans="1:17" ht="9.9" hidden="1" customHeight="1" x14ac:dyDescent="0.25">
      <c r="B284" s="85"/>
      <c r="C284" s="86" t="s">
        <v>156</v>
      </c>
      <c r="D284" s="99">
        <v>0</v>
      </c>
      <c r="E284" s="99">
        <v>0</v>
      </c>
      <c r="F284" s="87">
        <v>0</v>
      </c>
      <c r="G284" s="100">
        <v>0</v>
      </c>
      <c r="H284" s="87">
        <v>0</v>
      </c>
      <c r="I284" s="97">
        <v>0</v>
      </c>
      <c r="J284" s="97">
        <v>0</v>
      </c>
      <c r="K284" s="87">
        <v>0</v>
      </c>
      <c r="L284" s="87">
        <v>5</v>
      </c>
      <c r="M284" s="87">
        <v>472</v>
      </c>
      <c r="N284" s="87">
        <v>3231</v>
      </c>
      <c r="O284" s="87">
        <v>3651</v>
      </c>
      <c r="P284" s="88">
        <f>SUM(D284:O284)</f>
        <v>7359</v>
      </c>
    </row>
    <row r="285" spans="1:17" s="196" customFormat="1" ht="10.95" hidden="1" customHeight="1" x14ac:dyDescent="0.25">
      <c r="A285" s="20"/>
      <c r="B285" s="89"/>
      <c r="C285" s="86" t="s">
        <v>157</v>
      </c>
      <c r="D285" s="99">
        <v>0</v>
      </c>
      <c r="E285" s="99">
        <v>0</v>
      </c>
      <c r="F285" s="87">
        <v>0</v>
      </c>
      <c r="G285" s="100">
        <v>0</v>
      </c>
      <c r="H285" s="87">
        <v>0</v>
      </c>
      <c r="I285" s="97">
        <v>0</v>
      </c>
      <c r="J285" s="97">
        <v>0</v>
      </c>
      <c r="K285" s="87">
        <v>0</v>
      </c>
      <c r="L285" s="87">
        <v>0</v>
      </c>
      <c r="M285" s="87">
        <v>370</v>
      </c>
      <c r="N285" s="87">
        <v>2983</v>
      </c>
      <c r="O285" s="87">
        <v>3253</v>
      </c>
      <c r="P285" s="88">
        <f>SUM(D285:O285)</f>
        <v>6606</v>
      </c>
      <c r="Q285" s="195"/>
    </row>
    <row r="286" spans="1:17" ht="9" hidden="1" customHeight="1" x14ac:dyDescent="0.25">
      <c r="A286" s="202"/>
      <c r="B286" s="101"/>
      <c r="C286" s="101"/>
      <c r="D286" s="203"/>
      <c r="E286" s="203"/>
      <c r="F286" s="203"/>
      <c r="G286" s="203"/>
      <c r="H286" s="203"/>
      <c r="I286" s="203"/>
      <c r="J286" s="203"/>
      <c r="K286" s="203"/>
      <c r="L286" s="203"/>
      <c r="M286" s="203"/>
      <c r="N286" s="203"/>
      <c r="O286" s="203"/>
      <c r="P286" s="205"/>
    </row>
    <row r="287" spans="1:17" ht="9.9" hidden="1" customHeight="1" x14ac:dyDescent="0.25">
      <c r="B287" s="81" t="s">
        <v>117</v>
      </c>
      <c r="C287" s="82"/>
      <c r="D287" s="83">
        <f t="shared" ref="D287:P287" si="72">SUM(D288:D289)</f>
        <v>1186</v>
      </c>
      <c r="E287" s="83">
        <f t="shared" si="72"/>
        <v>783</v>
      </c>
      <c r="F287" s="83">
        <f t="shared" si="72"/>
        <v>617</v>
      </c>
      <c r="G287" s="83">
        <f t="shared" si="72"/>
        <v>4416</v>
      </c>
      <c r="H287" s="83">
        <f t="shared" si="72"/>
        <v>7582</v>
      </c>
      <c r="I287" s="83">
        <f t="shared" si="72"/>
        <v>7905</v>
      </c>
      <c r="J287" s="83">
        <f t="shared" si="72"/>
        <v>6504</v>
      </c>
      <c r="K287" s="83">
        <f t="shared" si="72"/>
        <v>4100</v>
      </c>
      <c r="L287" s="83">
        <f t="shared" si="72"/>
        <v>6040</v>
      </c>
      <c r="M287" s="83">
        <f t="shared" si="72"/>
        <v>5268</v>
      </c>
      <c r="N287" s="83">
        <f t="shared" si="72"/>
        <v>5019</v>
      </c>
      <c r="O287" s="83">
        <f t="shared" si="72"/>
        <v>6730</v>
      </c>
      <c r="P287" s="84">
        <f t="shared" si="72"/>
        <v>56150</v>
      </c>
    </row>
    <row r="288" spans="1:17" ht="9.9" hidden="1" customHeight="1" x14ac:dyDescent="0.25">
      <c r="B288" s="85"/>
      <c r="C288" s="86" t="s">
        <v>150</v>
      </c>
      <c r="D288" s="99">
        <v>1186</v>
      </c>
      <c r="E288" s="99">
        <v>783</v>
      </c>
      <c r="F288" s="87">
        <v>546</v>
      </c>
      <c r="G288" s="100">
        <v>259</v>
      </c>
      <c r="H288" s="87">
        <v>66</v>
      </c>
      <c r="I288" s="97">
        <v>16</v>
      </c>
      <c r="J288" s="97">
        <v>40</v>
      </c>
      <c r="K288" s="87">
        <v>1</v>
      </c>
      <c r="L288" s="87">
        <v>0</v>
      </c>
      <c r="M288" s="87">
        <v>0</v>
      </c>
      <c r="N288" s="87">
        <v>0</v>
      </c>
      <c r="O288" s="87">
        <v>0</v>
      </c>
      <c r="P288" s="88">
        <f>SUM(D288:O288)</f>
        <v>2897</v>
      </c>
    </row>
    <row r="289" spans="1:17" s="16" customFormat="1" ht="10.95" hidden="1" customHeight="1" x14ac:dyDescent="0.25">
      <c r="A289" s="20"/>
      <c r="B289" s="89"/>
      <c r="C289" s="86" t="s">
        <v>151</v>
      </c>
      <c r="D289" s="99">
        <v>0</v>
      </c>
      <c r="E289" s="99">
        <v>0</v>
      </c>
      <c r="F289" s="99">
        <v>71</v>
      </c>
      <c r="G289" s="99">
        <v>4157</v>
      </c>
      <c r="H289" s="99">
        <v>7516</v>
      </c>
      <c r="I289" s="99">
        <v>7889</v>
      </c>
      <c r="J289" s="99">
        <v>6464</v>
      </c>
      <c r="K289" s="99">
        <v>4099</v>
      </c>
      <c r="L289" s="99">
        <v>6040</v>
      </c>
      <c r="M289" s="99">
        <v>5268</v>
      </c>
      <c r="N289" s="90">
        <v>5019</v>
      </c>
      <c r="O289" s="90">
        <v>6730</v>
      </c>
      <c r="P289" s="88">
        <f>SUM(D289:O289)</f>
        <v>53253</v>
      </c>
      <c r="Q289" s="112"/>
    </row>
    <row r="290" spans="1:17" ht="8.4" hidden="1" customHeight="1" x14ac:dyDescent="0.25">
      <c r="A290" s="190"/>
      <c r="B290" s="191"/>
      <c r="C290" s="191"/>
      <c r="D290" s="192"/>
      <c r="E290" s="192"/>
      <c r="F290" s="192"/>
      <c r="G290" s="192"/>
      <c r="H290" s="192"/>
      <c r="I290" s="192"/>
      <c r="J290" s="193"/>
      <c r="K290" s="193"/>
      <c r="L290" s="193"/>
      <c r="M290" s="193"/>
      <c r="N290" s="193"/>
      <c r="O290" s="193"/>
      <c r="P290" s="194"/>
    </row>
    <row r="291" spans="1:17" ht="12.75" hidden="1" customHeight="1" x14ac:dyDescent="0.25">
      <c r="B291" s="81" t="s">
        <v>12</v>
      </c>
      <c r="C291" s="82"/>
      <c r="D291" s="83">
        <f t="shared" ref="D291:P291" si="73">SUM(D292:D293)</f>
        <v>7480</v>
      </c>
      <c r="E291" s="83">
        <f t="shared" si="73"/>
        <v>7875</v>
      </c>
      <c r="F291" s="83">
        <f t="shared" si="73"/>
        <v>9174</v>
      </c>
      <c r="G291" s="83">
        <f t="shared" si="73"/>
        <v>7570</v>
      </c>
      <c r="H291" s="83">
        <f t="shared" si="73"/>
        <v>6322</v>
      </c>
      <c r="I291" s="83">
        <f t="shared" si="73"/>
        <v>7641</v>
      </c>
      <c r="J291" s="83">
        <f t="shared" si="73"/>
        <v>9172</v>
      </c>
      <c r="K291" s="83">
        <f t="shared" si="73"/>
        <v>7118</v>
      </c>
      <c r="L291" s="83">
        <f t="shared" si="73"/>
        <v>8995</v>
      </c>
      <c r="M291" s="83">
        <f t="shared" si="73"/>
        <v>8523</v>
      </c>
      <c r="N291" s="83">
        <f t="shared" si="73"/>
        <v>8062</v>
      </c>
      <c r="O291" s="83">
        <f t="shared" si="73"/>
        <v>7262</v>
      </c>
      <c r="P291" s="84">
        <f t="shared" si="73"/>
        <v>95194</v>
      </c>
    </row>
    <row r="292" spans="1:17" ht="12.75" hidden="1" customHeight="1" x14ac:dyDescent="0.25">
      <c r="B292" s="85"/>
      <c r="C292" s="86" t="s">
        <v>12</v>
      </c>
      <c r="D292" s="99">
        <v>7165</v>
      </c>
      <c r="E292" s="99">
        <v>6916</v>
      </c>
      <c r="F292" s="87">
        <v>8409</v>
      </c>
      <c r="G292" s="100">
        <v>6925</v>
      </c>
      <c r="H292" s="87">
        <v>5804</v>
      </c>
      <c r="I292" s="97">
        <v>7391</v>
      </c>
      <c r="J292" s="97">
        <v>8759</v>
      </c>
      <c r="K292" s="87">
        <v>6514</v>
      </c>
      <c r="L292" s="87">
        <v>7182</v>
      </c>
      <c r="M292" s="87">
        <v>7182</v>
      </c>
      <c r="N292" s="87">
        <v>7100</v>
      </c>
      <c r="O292" s="87">
        <v>6810</v>
      </c>
      <c r="P292" s="88">
        <f>SUM(D292:O292)</f>
        <v>86157</v>
      </c>
      <c r="Q292"/>
    </row>
    <row r="293" spans="1:17" ht="12.75" hidden="1" customHeight="1" x14ac:dyDescent="0.25">
      <c r="A293"/>
      <c r="B293" s="89"/>
      <c r="C293" s="86" t="s">
        <v>143</v>
      </c>
      <c r="D293" s="99">
        <v>315</v>
      </c>
      <c r="E293" s="99">
        <v>959</v>
      </c>
      <c r="F293" s="99">
        <v>765</v>
      </c>
      <c r="G293" s="99">
        <v>645</v>
      </c>
      <c r="H293" s="99">
        <v>518</v>
      </c>
      <c r="I293" s="99">
        <v>250</v>
      </c>
      <c r="J293" s="99">
        <v>413</v>
      </c>
      <c r="K293" s="99">
        <v>604</v>
      </c>
      <c r="L293" s="99">
        <v>1813</v>
      </c>
      <c r="M293" s="99">
        <v>1341</v>
      </c>
      <c r="N293" s="90">
        <v>962</v>
      </c>
      <c r="O293" s="90">
        <v>452</v>
      </c>
      <c r="P293" s="88">
        <f>SUM(D293:O293)</f>
        <v>9037</v>
      </c>
      <c r="Q293"/>
    </row>
    <row r="294" spans="1:17" ht="12.75" hidden="1" customHeight="1" x14ac:dyDescent="0.25">
      <c r="A294" s="16"/>
      <c r="B294" s="16"/>
      <c r="C294" s="16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6"/>
      <c r="Q294"/>
    </row>
    <row r="295" spans="1:17" ht="12.75" hidden="1" customHeight="1" thickBot="1" x14ac:dyDescent="0.3">
      <c r="A295"/>
      <c r="B295" s="18" t="s">
        <v>135</v>
      </c>
      <c r="C295" s="18"/>
      <c r="Q295"/>
    </row>
    <row r="296" spans="1:17" ht="12.75" hidden="1" customHeight="1" thickBot="1" x14ac:dyDescent="0.3">
      <c r="A296"/>
      <c r="B296" s="435" t="s">
        <v>1</v>
      </c>
      <c r="C296" s="436"/>
      <c r="D296" s="21">
        <v>1</v>
      </c>
      <c r="E296" s="22">
        <v>2</v>
      </c>
      <c r="F296" s="22">
        <v>3</v>
      </c>
      <c r="G296" s="22">
        <v>4</v>
      </c>
      <c r="H296" s="22">
        <v>5</v>
      </c>
      <c r="I296" s="22">
        <v>6</v>
      </c>
      <c r="J296" s="22">
        <v>7</v>
      </c>
      <c r="K296" s="22">
        <v>8</v>
      </c>
      <c r="L296" s="22">
        <v>9</v>
      </c>
      <c r="M296" s="22">
        <v>10</v>
      </c>
      <c r="N296" s="22">
        <v>11</v>
      </c>
      <c r="O296" s="22">
        <v>12</v>
      </c>
      <c r="P296" s="23" t="s">
        <v>0</v>
      </c>
      <c r="Q296"/>
    </row>
    <row r="297" spans="1:17" ht="12.75" hidden="1" customHeight="1" x14ac:dyDescent="0.25">
      <c r="A297"/>
      <c r="B297" s="437" t="s">
        <v>45</v>
      </c>
      <c r="C297" s="174" t="s">
        <v>21</v>
      </c>
      <c r="D297" s="39">
        <v>406</v>
      </c>
      <c r="E297" s="40">
        <v>370</v>
      </c>
      <c r="F297" s="39">
        <v>415</v>
      </c>
      <c r="G297" s="40">
        <v>467</v>
      </c>
      <c r="H297" s="40">
        <v>399</v>
      </c>
      <c r="I297" s="40">
        <v>404</v>
      </c>
      <c r="J297" s="40">
        <v>391</v>
      </c>
      <c r="K297" s="40">
        <v>228</v>
      </c>
      <c r="L297" s="40">
        <v>215</v>
      </c>
      <c r="M297" s="40">
        <v>249</v>
      </c>
      <c r="N297" s="40">
        <v>447</v>
      </c>
      <c r="O297" s="40">
        <v>103</v>
      </c>
      <c r="P297" s="41">
        <f t="shared" ref="P297:P304" si="74">SUM(D297:O297)</f>
        <v>4094</v>
      </c>
      <c r="Q297"/>
    </row>
    <row r="298" spans="1:17" ht="12.75" hidden="1" customHeight="1" x14ac:dyDescent="0.25">
      <c r="A298"/>
      <c r="B298" s="438"/>
      <c r="C298" s="175" t="s">
        <v>22</v>
      </c>
      <c r="D298" s="75">
        <v>194</v>
      </c>
      <c r="E298" s="76">
        <v>181</v>
      </c>
      <c r="F298" s="75">
        <v>201</v>
      </c>
      <c r="G298" s="76">
        <v>150</v>
      </c>
      <c r="H298" s="76">
        <v>293</v>
      </c>
      <c r="I298" s="76">
        <v>232</v>
      </c>
      <c r="J298" s="76">
        <v>178</v>
      </c>
      <c r="K298" s="76">
        <v>161</v>
      </c>
      <c r="L298" s="78">
        <v>131</v>
      </c>
      <c r="M298" s="76">
        <v>127</v>
      </c>
      <c r="N298" s="76">
        <v>159</v>
      </c>
      <c r="O298" s="76">
        <v>168</v>
      </c>
      <c r="P298" s="77">
        <f t="shared" si="74"/>
        <v>2175</v>
      </c>
      <c r="Q298"/>
    </row>
    <row r="299" spans="1:17" ht="12.75" hidden="1" customHeight="1" x14ac:dyDescent="0.25">
      <c r="A299"/>
      <c r="B299" s="438"/>
      <c r="C299" s="175" t="s">
        <v>24</v>
      </c>
      <c r="D299" s="75">
        <v>5428</v>
      </c>
      <c r="E299" s="75">
        <v>4973</v>
      </c>
      <c r="F299" s="75">
        <v>5603</v>
      </c>
      <c r="G299" s="75">
        <v>5774</v>
      </c>
      <c r="H299" s="75">
        <v>4752</v>
      </c>
      <c r="I299" s="75">
        <v>5654</v>
      </c>
      <c r="J299" s="75">
        <v>5428</v>
      </c>
      <c r="K299" s="75">
        <v>4893</v>
      </c>
      <c r="L299" s="75">
        <v>4900</v>
      </c>
      <c r="M299" s="75">
        <v>6571</v>
      </c>
      <c r="N299" s="75">
        <v>4475</v>
      </c>
      <c r="O299" s="75">
        <v>3653</v>
      </c>
      <c r="P299" s="31">
        <f t="shared" si="74"/>
        <v>62104</v>
      </c>
      <c r="Q299"/>
    </row>
    <row r="300" spans="1:17" ht="12.75" hidden="1" customHeight="1" x14ac:dyDescent="0.25">
      <c r="A300"/>
      <c r="B300" s="438"/>
      <c r="C300" s="175" t="s">
        <v>68</v>
      </c>
      <c r="D300" s="75">
        <v>136</v>
      </c>
      <c r="E300" s="75">
        <v>283</v>
      </c>
      <c r="F300" s="75">
        <v>623</v>
      </c>
      <c r="G300" s="75">
        <v>498</v>
      </c>
      <c r="H300" s="75">
        <v>423</v>
      </c>
      <c r="I300" s="75">
        <v>713</v>
      </c>
      <c r="J300" s="75">
        <v>705</v>
      </c>
      <c r="K300" s="75">
        <v>679</v>
      </c>
      <c r="L300" s="75">
        <v>624</v>
      </c>
      <c r="M300" s="75">
        <v>457</v>
      </c>
      <c r="N300" s="75">
        <v>352</v>
      </c>
      <c r="O300" s="75">
        <v>534</v>
      </c>
      <c r="P300" s="27">
        <f t="shared" si="74"/>
        <v>6027</v>
      </c>
      <c r="Q300"/>
    </row>
    <row r="301" spans="1:17" ht="12.75" hidden="1" customHeight="1" x14ac:dyDescent="0.25">
      <c r="A301"/>
      <c r="B301" s="438"/>
      <c r="C301" s="176" t="s">
        <v>3</v>
      </c>
      <c r="D301" s="29">
        <v>158</v>
      </c>
      <c r="E301" s="30">
        <v>106</v>
      </c>
      <c r="F301" s="29">
        <v>205</v>
      </c>
      <c r="G301" s="30">
        <v>149</v>
      </c>
      <c r="H301" s="30">
        <v>150</v>
      </c>
      <c r="I301" s="30">
        <v>84</v>
      </c>
      <c r="J301" s="30">
        <v>92</v>
      </c>
      <c r="K301" s="30">
        <v>142</v>
      </c>
      <c r="L301" s="32">
        <v>109</v>
      </c>
      <c r="M301" s="30">
        <v>82</v>
      </c>
      <c r="N301" s="30">
        <v>85</v>
      </c>
      <c r="O301" s="30">
        <v>65</v>
      </c>
      <c r="P301" s="77">
        <f t="shared" si="74"/>
        <v>1427</v>
      </c>
      <c r="Q301"/>
    </row>
    <row r="302" spans="1:17" ht="12.75" hidden="1" customHeight="1" x14ac:dyDescent="0.25">
      <c r="A302"/>
      <c r="B302" s="438"/>
      <c r="C302" s="177" t="s">
        <v>25</v>
      </c>
      <c r="D302" s="73">
        <v>4541</v>
      </c>
      <c r="E302" s="73">
        <v>5680</v>
      </c>
      <c r="F302" s="73">
        <v>6036</v>
      </c>
      <c r="G302" s="73">
        <v>8836</v>
      </c>
      <c r="H302" s="73">
        <v>13376</v>
      </c>
      <c r="I302" s="73">
        <v>9822</v>
      </c>
      <c r="J302" s="73">
        <v>8071</v>
      </c>
      <c r="K302" s="73">
        <v>8393</v>
      </c>
      <c r="L302" s="73">
        <v>7156</v>
      </c>
      <c r="M302" s="73">
        <v>10688</v>
      </c>
      <c r="N302" s="73">
        <v>8832</v>
      </c>
      <c r="O302" s="73">
        <v>8572</v>
      </c>
      <c r="P302" s="77">
        <f t="shared" si="74"/>
        <v>100003</v>
      </c>
      <c r="Q302"/>
    </row>
    <row r="303" spans="1:17" ht="12.75" hidden="1" customHeight="1" x14ac:dyDescent="0.25">
      <c r="A303"/>
      <c r="B303" s="438"/>
      <c r="C303" s="177" t="s">
        <v>43</v>
      </c>
      <c r="D303" s="73">
        <v>7</v>
      </c>
      <c r="E303" s="73">
        <v>14</v>
      </c>
      <c r="F303" s="73">
        <v>16</v>
      </c>
      <c r="G303" s="73">
        <v>6</v>
      </c>
      <c r="H303" s="73">
        <v>16</v>
      </c>
      <c r="I303" s="73">
        <v>2</v>
      </c>
      <c r="J303" s="73">
        <v>0</v>
      </c>
      <c r="K303" s="73">
        <v>2</v>
      </c>
      <c r="L303" s="73">
        <v>0</v>
      </c>
      <c r="M303" s="73">
        <v>0</v>
      </c>
      <c r="N303" s="73">
        <v>0</v>
      </c>
      <c r="O303" s="73">
        <v>0</v>
      </c>
      <c r="P303" s="77">
        <f t="shared" si="74"/>
        <v>63</v>
      </c>
      <c r="Q303"/>
    </row>
    <row r="304" spans="1:17" ht="12.75" hidden="1" customHeight="1" x14ac:dyDescent="0.25">
      <c r="A304"/>
      <c r="B304" s="438"/>
      <c r="C304" s="178" t="s">
        <v>27</v>
      </c>
      <c r="D304" s="71">
        <v>10077</v>
      </c>
      <c r="E304" s="71">
        <v>7720</v>
      </c>
      <c r="F304" s="71">
        <v>10531</v>
      </c>
      <c r="G304" s="71">
        <v>10135</v>
      </c>
      <c r="H304" s="71">
        <v>8327</v>
      </c>
      <c r="I304" s="71">
        <v>6652</v>
      </c>
      <c r="J304" s="71">
        <v>6135</v>
      </c>
      <c r="K304" s="71">
        <v>5514</v>
      </c>
      <c r="L304" s="71">
        <v>4814</v>
      </c>
      <c r="M304" s="71">
        <v>9867</v>
      </c>
      <c r="N304" s="71">
        <v>10407</v>
      </c>
      <c r="O304" s="71">
        <v>13170</v>
      </c>
      <c r="P304" s="77">
        <f t="shared" si="74"/>
        <v>103349</v>
      </c>
      <c r="Q304"/>
    </row>
    <row r="305" spans="1:17" ht="12.75" hidden="1" customHeight="1" thickBot="1" x14ac:dyDescent="0.3">
      <c r="A305"/>
      <c r="B305" s="431"/>
      <c r="C305" s="180" t="s">
        <v>0</v>
      </c>
      <c r="D305" s="43">
        <f t="shared" ref="D305:P305" si="75">SUM(D297:D304)</f>
        <v>20947</v>
      </c>
      <c r="E305" s="43">
        <f t="shared" si="75"/>
        <v>19327</v>
      </c>
      <c r="F305" s="43">
        <f t="shared" si="75"/>
        <v>23630</v>
      </c>
      <c r="G305" s="43">
        <f t="shared" si="75"/>
        <v>26015</v>
      </c>
      <c r="H305" s="43">
        <f t="shared" si="75"/>
        <v>27736</v>
      </c>
      <c r="I305" s="43">
        <f t="shared" si="75"/>
        <v>23563</v>
      </c>
      <c r="J305" s="43">
        <f t="shared" si="75"/>
        <v>21000</v>
      </c>
      <c r="K305" s="43">
        <f t="shared" si="75"/>
        <v>20012</v>
      </c>
      <c r="L305" s="43">
        <f t="shared" si="75"/>
        <v>17949</v>
      </c>
      <c r="M305" s="43">
        <f t="shared" si="75"/>
        <v>28041</v>
      </c>
      <c r="N305" s="43">
        <f t="shared" si="75"/>
        <v>24757</v>
      </c>
      <c r="O305" s="43">
        <f t="shared" si="75"/>
        <v>26265</v>
      </c>
      <c r="P305" s="44">
        <f t="shared" si="75"/>
        <v>279242</v>
      </c>
      <c r="Q305"/>
    </row>
    <row r="306" spans="1:17" ht="12.75" hidden="1" customHeight="1" x14ac:dyDescent="0.25">
      <c r="A306"/>
      <c r="B306" s="433" t="s">
        <v>44</v>
      </c>
      <c r="C306" s="174" t="s">
        <v>138</v>
      </c>
      <c r="D306" s="39">
        <v>0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  <c r="J306" s="40">
        <v>1753</v>
      </c>
      <c r="K306" s="40">
        <v>3701</v>
      </c>
      <c r="L306" s="40">
        <v>3690</v>
      </c>
      <c r="M306" s="40">
        <v>2645</v>
      </c>
      <c r="N306" s="40">
        <v>1977</v>
      </c>
      <c r="O306" s="40">
        <v>3101</v>
      </c>
      <c r="P306" s="41">
        <f t="shared" ref="P306:P311" si="76">SUM(D306:O306)</f>
        <v>16867</v>
      </c>
      <c r="Q306"/>
    </row>
    <row r="307" spans="1:17" ht="12.75" hidden="1" customHeight="1" x14ac:dyDescent="0.25">
      <c r="A307"/>
      <c r="B307" s="433"/>
      <c r="C307" s="181" t="s">
        <v>113</v>
      </c>
      <c r="D307" s="25">
        <v>2310</v>
      </c>
      <c r="E307" s="26">
        <v>1955</v>
      </c>
      <c r="F307" s="26">
        <v>4529</v>
      </c>
      <c r="G307" s="26">
        <v>4730</v>
      </c>
      <c r="H307" s="26">
        <v>4328</v>
      </c>
      <c r="I307" s="26">
        <v>3634</v>
      </c>
      <c r="J307" s="26">
        <v>3187</v>
      </c>
      <c r="K307" s="26">
        <v>2474</v>
      </c>
      <c r="L307" s="26">
        <v>3636</v>
      </c>
      <c r="M307" s="26">
        <v>4421</v>
      </c>
      <c r="N307" s="26">
        <v>3720</v>
      </c>
      <c r="O307" s="26">
        <v>3725</v>
      </c>
      <c r="P307" s="27">
        <f t="shared" si="76"/>
        <v>42649</v>
      </c>
      <c r="Q307"/>
    </row>
    <row r="308" spans="1:17" ht="12.75" hidden="1" customHeight="1" x14ac:dyDescent="0.25">
      <c r="A308"/>
      <c r="B308" s="433"/>
      <c r="C308" s="181" t="s">
        <v>59</v>
      </c>
      <c r="D308" s="25">
        <v>3651</v>
      </c>
      <c r="E308" s="26">
        <v>2638</v>
      </c>
      <c r="F308" s="26">
        <v>3693</v>
      </c>
      <c r="G308" s="26">
        <v>3860</v>
      </c>
      <c r="H308" s="26">
        <v>3264</v>
      </c>
      <c r="I308" s="26">
        <v>2976</v>
      </c>
      <c r="J308" s="26">
        <v>3183</v>
      </c>
      <c r="K308" s="26">
        <v>2583</v>
      </c>
      <c r="L308" s="26">
        <v>1620</v>
      </c>
      <c r="M308" s="26">
        <v>2474</v>
      </c>
      <c r="N308" s="26">
        <v>3279</v>
      </c>
      <c r="O308" s="26">
        <v>3537</v>
      </c>
      <c r="P308" s="27">
        <f t="shared" si="76"/>
        <v>36758</v>
      </c>
      <c r="Q308"/>
    </row>
    <row r="309" spans="1:17" ht="12.75" hidden="1" customHeight="1" x14ac:dyDescent="0.25">
      <c r="A309"/>
      <c r="B309" s="433"/>
      <c r="C309" s="181" t="s">
        <v>124</v>
      </c>
      <c r="D309" s="25">
        <v>21</v>
      </c>
      <c r="E309" s="26">
        <v>72</v>
      </c>
      <c r="F309" s="26">
        <v>151</v>
      </c>
      <c r="G309" s="26">
        <v>363</v>
      </c>
      <c r="H309" s="26">
        <v>461</v>
      </c>
      <c r="I309" s="26">
        <v>478</v>
      </c>
      <c r="J309" s="26">
        <v>352</v>
      </c>
      <c r="K309" s="26">
        <v>247</v>
      </c>
      <c r="L309" s="26">
        <v>454</v>
      </c>
      <c r="M309" s="26">
        <v>608</v>
      </c>
      <c r="N309" s="26">
        <v>699</v>
      </c>
      <c r="O309" s="26">
        <v>288</v>
      </c>
      <c r="P309" s="197">
        <f t="shared" si="76"/>
        <v>4194</v>
      </c>
      <c r="Q309"/>
    </row>
    <row r="310" spans="1:17" ht="12.75" hidden="1" customHeight="1" x14ac:dyDescent="0.25">
      <c r="A310"/>
      <c r="B310" s="433"/>
      <c r="C310" s="176" t="s">
        <v>8</v>
      </c>
      <c r="D310" s="29">
        <v>7001</v>
      </c>
      <c r="E310" s="30">
        <v>7023</v>
      </c>
      <c r="F310" s="30">
        <v>8231</v>
      </c>
      <c r="G310" s="30">
        <v>6759</v>
      </c>
      <c r="H310" s="30">
        <v>6882</v>
      </c>
      <c r="I310" s="30">
        <v>8192</v>
      </c>
      <c r="J310" s="30">
        <v>7393</v>
      </c>
      <c r="K310" s="30">
        <v>6858</v>
      </c>
      <c r="L310" s="30">
        <v>7813</v>
      </c>
      <c r="M310" s="30">
        <v>6676</v>
      </c>
      <c r="N310" s="30">
        <v>7001</v>
      </c>
      <c r="O310" s="30">
        <v>6369</v>
      </c>
      <c r="P310" s="77">
        <f t="shared" si="76"/>
        <v>86198</v>
      </c>
      <c r="Q310"/>
    </row>
    <row r="311" spans="1:17" ht="12.75" hidden="1" customHeight="1" x14ac:dyDescent="0.25">
      <c r="A311"/>
      <c r="B311" s="433"/>
      <c r="C311" s="176" t="s">
        <v>133</v>
      </c>
      <c r="D311" s="29">
        <v>5903</v>
      </c>
      <c r="E311" s="30">
        <v>5769</v>
      </c>
      <c r="F311" s="30">
        <v>6377</v>
      </c>
      <c r="G311" s="30">
        <v>6583</v>
      </c>
      <c r="H311" s="30">
        <v>3743</v>
      </c>
      <c r="I311" s="30">
        <v>3127</v>
      </c>
      <c r="J311" s="30">
        <v>3660</v>
      </c>
      <c r="K311" s="30">
        <v>2304</v>
      </c>
      <c r="L311" s="30">
        <v>2241</v>
      </c>
      <c r="M311" s="30">
        <v>3087</v>
      </c>
      <c r="N311" s="30">
        <v>4137</v>
      </c>
      <c r="O311" s="30">
        <v>5368</v>
      </c>
      <c r="P311" s="31">
        <f t="shared" si="76"/>
        <v>52299</v>
      </c>
      <c r="Q311"/>
    </row>
    <row r="312" spans="1:17" ht="12.75" hidden="1" customHeight="1" thickBot="1" x14ac:dyDescent="0.3">
      <c r="A312"/>
      <c r="B312" s="439"/>
      <c r="C312" s="182" t="s">
        <v>0</v>
      </c>
      <c r="D312" s="36">
        <f t="shared" ref="D312:P312" si="77">SUM(D306:D311)</f>
        <v>18886</v>
      </c>
      <c r="E312" s="36">
        <f t="shared" si="77"/>
        <v>17457</v>
      </c>
      <c r="F312" s="36">
        <f t="shared" si="77"/>
        <v>22981</v>
      </c>
      <c r="G312" s="36">
        <f t="shared" si="77"/>
        <v>22295</v>
      </c>
      <c r="H312" s="36">
        <f t="shared" si="77"/>
        <v>18678</v>
      </c>
      <c r="I312" s="36">
        <f t="shared" si="77"/>
        <v>18407</v>
      </c>
      <c r="J312" s="36">
        <f t="shared" si="77"/>
        <v>19528</v>
      </c>
      <c r="K312" s="36">
        <f t="shared" si="77"/>
        <v>18167</v>
      </c>
      <c r="L312" s="36">
        <f t="shared" si="77"/>
        <v>19454</v>
      </c>
      <c r="M312" s="36">
        <f t="shared" si="77"/>
        <v>19911</v>
      </c>
      <c r="N312" s="36">
        <f t="shared" si="77"/>
        <v>20813</v>
      </c>
      <c r="O312" s="36">
        <f t="shared" si="77"/>
        <v>22388</v>
      </c>
      <c r="P312" s="37">
        <f t="shared" si="77"/>
        <v>238965</v>
      </c>
      <c r="Q312"/>
    </row>
    <row r="313" spans="1:17" ht="12.75" hidden="1" customHeight="1" x14ac:dyDescent="0.25">
      <c r="A313"/>
      <c r="B313" s="429" t="s">
        <v>9</v>
      </c>
      <c r="C313" s="174" t="s">
        <v>11</v>
      </c>
      <c r="D313" s="39">
        <v>4179</v>
      </c>
      <c r="E313" s="40">
        <v>3581</v>
      </c>
      <c r="F313" s="40">
        <v>4937</v>
      </c>
      <c r="G313" s="40">
        <v>4303</v>
      </c>
      <c r="H313" s="40">
        <v>3667</v>
      </c>
      <c r="I313" s="40">
        <v>3033</v>
      </c>
      <c r="J313" s="40">
        <v>3054</v>
      </c>
      <c r="K313" s="40">
        <v>1463</v>
      </c>
      <c r="L313" s="40">
        <v>2163</v>
      </c>
      <c r="M313" s="40">
        <v>3734</v>
      </c>
      <c r="N313" s="40">
        <v>3344</v>
      </c>
      <c r="O313" s="40">
        <v>3409</v>
      </c>
      <c r="P313" s="41">
        <f>SUM(D313:O313)</f>
        <v>40867</v>
      </c>
      <c r="Q313"/>
    </row>
    <row r="314" spans="1:17" ht="12.75" hidden="1" customHeight="1" x14ac:dyDescent="0.25">
      <c r="A314"/>
      <c r="B314" s="430"/>
      <c r="C314" s="181" t="s">
        <v>12</v>
      </c>
      <c r="D314" s="25">
        <v>8951</v>
      </c>
      <c r="E314" s="26">
        <v>6797</v>
      </c>
      <c r="F314" s="26">
        <v>9412</v>
      </c>
      <c r="G314" s="26">
        <v>9502</v>
      </c>
      <c r="H314" s="26">
        <v>9254</v>
      </c>
      <c r="I314" s="26">
        <v>9180</v>
      </c>
      <c r="J314" s="26">
        <v>10355</v>
      </c>
      <c r="K314" s="26">
        <v>6971</v>
      </c>
      <c r="L314" s="26">
        <v>5094</v>
      </c>
      <c r="M314" s="26">
        <v>7041</v>
      </c>
      <c r="N314" s="26">
        <v>8402</v>
      </c>
      <c r="O314" s="26">
        <f>7442+124</f>
        <v>7566</v>
      </c>
      <c r="P314" s="27">
        <f>SUM(D314:O314)</f>
        <v>98525</v>
      </c>
      <c r="Q314"/>
    </row>
    <row r="315" spans="1:17" ht="12.75" hidden="1" customHeight="1" thickBot="1" x14ac:dyDescent="0.3">
      <c r="A315"/>
      <c r="B315" s="431"/>
      <c r="C315" s="180" t="s">
        <v>0</v>
      </c>
      <c r="D315" s="43">
        <f t="shared" ref="D315:L315" si="78">SUM(D313:D314)</f>
        <v>13130</v>
      </c>
      <c r="E315" s="43">
        <f t="shared" si="78"/>
        <v>10378</v>
      </c>
      <c r="F315" s="43">
        <f t="shared" si="78"/>
        <v>14349</v>
      </c>
      <c r="G315" s="43">
        <f t="shared" si="78"/>
        <v>13805</v>
      </c>
      <c r="H315" s="43">
        <f t="shared" si="78"/>
        <v>12921</v>
      </c>
      <c r="I315" s="43">
        <f t="shared" si="78"/>
        <v>12213</v>
      </c>
      <c r="J315" s="43">
        <f t="shared" si="78"/>
        <v>13409</v>
      </c>
      <c r="K315" s="43">
        <f t="shared" si="78"/>
        <v>8434</v>
      </c>
      <c r="L315" s="43">
        <f t="shared" si="78"/>
        <v>7257</v>
      </c>
      <c r="M315" s="43">
        <f>SUM(M313:M314)</f>
        <v>10775</v>
      </c>
      <c r="N315" s="43">
        <f>SUM(N313:N314)</f>
        <v>11746</v>
      </c>
      <c r="O315" s="43">
        <f>SUM(O313:O314)</f>
        <v>10975</v>
      </c>
      <c r="P315" s="44">
        <f>SUM(P313:P314)</f>
        <v>139392</v>
      </c>
      <c r="Q315"/>
    </row>
    <row r="316" spans="1:17" ht="12.75" hidden="1" customHeight="1" x14ac:dyDescent="0.25">
      <c r="A316"/>
      <c r="B316" s="429" t="s">
        <v>10</v>
      </c>
      <c r="C316" s="174" t="s">
        <v>13</v>
      </c>
      <c r="D316" s="39">
        <v>634</v>
      </c>
      <c r="E316" s="40">
        <v>652</v>
      </c>
      <c r="F316" s="40">
        <v>878</v>
      </c>
      <c r="G316" s="40">
        <v>917</v>
      </c>
      <c r="H316" s="40">
        <v>838</v>
      </c>
      <c r="I316" s="40">
        <v>689</v>
      </c>
      <c r="J316" s="40">
        <v>702</v>
      </c>
      <c r="K316" s="40">
        <v>522</v>
      </c>
      <c r="L316" s="40">
        <v>656</v>
      </c>
      <c r="M316" s="40">
        <v>761</v>
      </c>
      <c r="N316" s="40">
        <v>667</v>
      </c>
      <c r="O316" s="40">
        <v>743</v>
      </c>
      <c r="P316" s="41">
        <f>SUM(D316:O316)</f>
        <v>8659</v>
      </c>
      <c r="Q316"/>
    </row>
    <row r="317" spans="1:17" ht="12.75" hidden="1" customHeight="1" x14ac:dyDescent="0.25">
      <c r="A317"/>
      <c r="B317" s="430"/>
      <c r="C317" s="181" t="s">
        <v>14</v>
      </c>
      <c r="D317" s="25">
        <v>1569</v>
      </c>
      <c r="E317" s="26">
        <v>1449</v>
      </c>
      <c r="F317" s="26">
        <v>1947</v>
      </c>
      <c r="G317" s="26">
        <v>1983</v>
      </c>
      <c r="H317" s="26">
        <v>1862</v>
      </c>
      <c r="I317" s="26">
        <v>1714</v>
      </c>
      <c r="J317" s="26">
        <v>1498</v>
      </c>
      <c r="K317" s="26">
        <v>1181</v>
      </c>
      <c r="L317" s="26">
        <v>1244</v>
      </c>
      <c r="M317" s="26">
        <v>1539</v>
      </c>
      <c r="N317" s="26">
        <v>1538</v>
      </c>
      <c r="O317" s="26">
        <v>1259</v>
      </c>
      <c r="P317" s="27">
        <f>SUM(D317:O317)</f>
        <v>18783</v>
      </c>
      <c r="Q317"/>
    </row>
    <row r="318" spans="1:17" ht="12.75" hidden="1" customHeight="1" thickBot="1" x14ac:dyDescent="0.3">
      <c r="A318"/>
      <c r="B318" s="431"/>
      <c r="C318" s="180" t="s">
        <v>0</v>
      </c>
      <c r="D318" s="43">
        <f t="shared" ref="D318:P318" si="79">SUM(D316:D317)</f>
        <v>2203</v>
      </c>
      <c r="E318" s="43">
        <f t="shared" si="79"/>
        <v>2101</v>
      </c>
      <c r="F318" s="43">
        <f t="shared" si="79"/>
        <v>2825</v>
      </c>
      <c r="G318" s="43">
        <f t="shared" si="79"/>
        <v>2900</v>
      </c>
      <c r="H318" s="43">
        <f t="shared" si="79"/>
        <v>2700</v>
      </c>
      <c r="I318" s="43">
        <f t="shared" si="79"/>
        <v>2403</v>
      </c>
      <c r="J318" s="43">
        <f t="shared" si="79"/>
        <v>2200</v>
      </c>
      <c r="K318" s="43">
        <f t="shared" si="79"/>
        <v>1703</v>
      </c>
      <c r="L318" s="43">
        <f t="shared" si="79"/>
        <v>1900</v>
      </c>
      <c r="M318" s="43">
        <f t="shared" si="79"/>
        <v>2300</v>
      </c>
      <c r="N318" s="43">
        <f t="shared" si="79"/>
        <v>2205</v>
      </c>
      <c r="O318" s="43">
        <f t="shared" si="79"/>
        <v>2002</v>
      </c>
      <c r="P318" s="44">
        <f t="shared" si="79"/>
        <v>27442</v>
      </c>
      <c r="Q318"/>
    </row>
    <row r="319" spans="1:17" ht="4.5" hidden="1" customHeight="1" x14ac:dyDescent="0.25">
      <c r="A319"/>
      <c r="B319" s="424" t="s">
        <v>4</v>
      </c>
      <c r="C319" s="183" t="s">
        <v>115</v>
      </c>
      <c r="D319" s="155">
        <v>1408</v>
      </c>
      <c r="E319" s="155">
        <v>1310</v>
      </c>
      <c r="F319" s="155">
        <v>1757</v>
      </c>
      <c r="G319" s="155">
        <v>1662</v>
      </c>
      <c r="H319" s="155">
        <v>1557</v>
      </c>
      <c r="I319" s="155">
        <v>1382</v>
      </c>
      <c r="J319" s="155">
        <v>1270</v>
      </c>
      <c r="K319" s="155">
        <v>1471</v>
      </c>
      <c r="L319" s="155">
        <v>1150</v>
      </c>
      <c r="M319" s="155">
        <v>1164</v>
      </c>
      <c r="N319" s="155">
        <v>1339</v>
      </c>
      <c r="O319" s="155">
        <v>1505</v>
      </c>
      <c r="P319" s="156">
        <f>SUM(D319:O319)</f>
        <v>16975</v>
      </c>
      <c r="Q319"/>
    </row>
    <row r="320" spans="1:17" hidden="1" x14ac:dyDescent="0.25">
      <c r="A320"/>
      <c r="B320" s="425"/>
      <c r="C320" s="184" t="s">
        <v>117</v>
      </c>
      <c r="D320" s="131">
        <v>2479</v>
      </c>
      <c r="E320" s="131">
        <v>1873</v>
      </c>
      <c r="F320" s="131">
        <v>2195</v>
      </c>
      <c r="G320" s="131">
        <v>1930</v>
      </c>
      <c r="H320" s="131">
        <v>1958</v>
      </c>
      <c r="I320" s="131">
        <v>1853</v>
      </c>
      <c r="J320" s="131">
        <v>1726</v>
      </c>
      <c r="K320" s="131">
        <v>2071</v>
      </c>
      <c r="L320" s="131">
        <v>1496</v>
      </c>
      <c r="M320" s="131">
        <v>1786</v>
      </c>
      <c r="N320" s="131">
        <v>1214</v>
      </c>
      <c r="O320" s="131">
        <v>1703</v>
      </c>
      <c r="P320" s="132">
        <f>SUM(D320:O320)</f>
        <v>22284</v>
      </c>
    </row>
    <row r="321" spans="1:17" ht="9.75" hidden="1" customHeight="1" x14ac:dyDescent="0.25">
      <c r="A321"/>
      <c r="B321" s="425"/>
      <c r="C321" s="176" t="s">
        <v>129</v>
      </c>
      <c r="D321" s="29">
        <v>1387</v>
      </c>
      <c r="E321" s="30">
        <v>960</v>
      </c>
      <c r="F321" s="30">
        <v>2374</v>
      </c>
      <c r="G321" s="30">
        <v>2806</v>
      </c>
      <c r="H321" s="30">
        <v>2206</v>
      </c>
      <c r="I321" s="30">
        <v>1166</v>
      </c>
      <c r="J321" s="30">
        <v>1153</v>
      </c>
      <c r="K321" s="30">
        <v>1039</v>
      </c>
      <c r="L321" s="30">
        <v>933</v>
      </c>
      <c r="M321" s="30">
        <v>935</v>
      </c>
      <c r="N321" s="30">
        <v>1086</v>
      </c>
      <c r="O321" s="30">
        <v>1497</v>
      </c>
      <c r="P321" s="31">
        <f>SUM(D321:O321)</f>
        <v>17542</v>
      </c>
    </row>
    <row r="322" spans="1:17" ht="9.75" hidden="1" customHeight="1" thickBot="1" x14ac:dyDescent="0.3">
      <c r="A322"/>
      <c r="B322" s="426"/>
      <c r="C322" s="42" t="s">
        <v>0</v>
      </c>
      <c r="D322" s="43">
        <f>SUM(D319:D321)</f>
        <v>5274</v>
      </c>
      <c r="E322" s="43">
        <f t="shared" ref="E322:P322" si="80">SUM(E319:E321)</f>
        <v>4143</v>
      </c>
      <c r="F322" s="43">
        <f t="shared" si="80"/>
        <v>6326</v>
      </c>
      <c r="G322" s="43">
        <f t="shared" si="80"/>
        <v>6398</v>
      </c>
      <c r="H322" s="43">
        <f t="shared" si="80"/>
        <v>5721</v>
      </c>
      <c r="I322" s="43">
        <f t="shared" si="80"/>
        <v>4401</v>
      </c>
      <c r="J322" s="43">
        <f t="shared" si="80"/>
        <v>4149</v>
      </c>
      <c r="K322" s="43">
        <f t="shared" si="80"/>
        <v>4581</v>
      </c>
      <c r="L322" s="43">
        <f t="shared" si="80"/>
        <v>3579</v>
      </c>
      <c r="M322" s="43">
        <f t="shared" si="80"/>
        <v>3885</v>
      </c>
      <c r="N322" s="43">
        <f t="shared" si="80"/>
        <v>3639</v>
      </c>
      <c r="O322" s="43">
        <f t="shared" si="80"/>
        <v>4705</v>
      </c>
      <c r="P322" s="43">
        <f t="shared" si="80"/>
        <v>56801</v>
      </c>
    </row>
    <row r="323" spans="1:17" ht="4.5" hidden="1" customHeight="1" thickBot="1" x14ac:dyDescent="0.3">
      <c r="A323"/>
      <c r="B323" s="442" t="s">
        <v>2</v>
      </c>
      <c r="C323" s="443"/>
      <c r="D323" s="45">
        <f t="shared" ref="D323:O323" si="81">D305+D312+D318+D315+D322</f>
        <v>60440</v>
      </c>
      <c r="E323" s="45">
        <f t="shared" si="81"/>
        <v>53406</v>
      </c>
      <c r="F323" s="45">
        <f t="shared" si="81"/>
        <v>70111</v>
      </c>
      <c r="G323" s="45">
        <f t="shared" si="81"/>
        <v>71413</v>
      </c>
      <c r="H323" s="45">
        <f t="shared" si="81"/>
        <v>67756</v>
      </c>
      <c r="I323" s="45">
        <f t="shared" si="81"/>
        <v>60987</v>
      </c>
      <c r="J323" s="45">
        <f t="shared" si="81"/>
        <v>60286</v>
      </c>
      <c r="K323" s="45">
        <f t="shared" si="81"/>
        <v>52897</v>
      </c>
      <c r="L323" s="45">
        <f t="shared" si="81"/>
        <v>50139</v>
      </c>
      <c r="M323" s="45">
        <f t="shared" si="81"/>
        <v>64912</v>
      </c>
      <c r="N323" s="45">
        <f t="shared" si="81"/>
        <v>63160</v>
      </c>
      <c r="O323" s="45">
        <f t="shared" si="81"/>
        <v>66335</v>
      </c>
      <c r="P323" s="45">
        <f>SUM(P305,P312,P322,P315,P318)</f>
        <v>741842</v>
      </c>
      <c r="Q323"/>
    </row>
    <row r="324" spans="1:17" hidden="1" x14ac:dyDescent="0.25">
      <c r="A324"/>
      <c r="J324" s="115"/>
    </row>
    <row r="325" spans="1:17" ht="9.9" hidden="1" customHeight="1" x14ac:dyDescent="0.25">
      <c r="A325"/>
      <c r="B325" s="81" t="s">
        <v>68</v>
      </c>
      <c r="C325" s="82"/>
      <c r="D325" s="83">
        <f t="shared" ref="D325:P325" si="82">SUM(D326:D327)</f>
        <v>136</v>
      </c>
      <c r="E325" s="83">
        <f t="shared" si="82"/>
        <v>283</v>
      </c>
      <c r="F325" s="83">
        <f t="shared" si="82"/>
        <v>623</v>
      </c>
      <c r="G325" s="83">
        <f t="shared" si="82"/>
        <v>498</v>
      </c>
      <c r="H325" s="83">
        <f t="shared" si="82"/>
        <v>423</v>
      </c>
      <c r="I325" s="83">
        <f t="shared" si="82"/>
        <v>713</v>
      </c>
      <c r="J325" s="83">
        <f t="shared" si="82"/>
        <v>705</v>
      </c>
      <c r="K325" s="83">
        <f t="shared" si="82"/>
        <v>679</v>
      </c>
      <c r="L325" s="83">
        <f t="shared" si="82"/>
        <v>624</v>
      </c>
      <c r="M325" s="83">
        <f t="shared" si="82"/>
        <v>457</v>
      </c>
      <c r="N325" s="83">
        <f t="shared" si="82"/>
        <v>352</v>
      </c>
      <c r="O325" s="83">
        <f t="shared" si="82"/>
        <v>534</v>
      </c>
      <c r="P325" s="84">
        <f t="shared" si="82"/>
        <v>6027</v>
      </c>
    </row>
    <row r="326" spans="1:17" ht="9.9" hidden="1" customHeight="1" x14ac:dyDescent="0.25">
      <c r="A326"/>
      <c r="B326" s="85"/>
      <c r="C326" s="86" t="s">
        <v>143</v>
      </c>
      <c r="D326" s="99">
        <v>21</v>
      </c>
      <c r="E326" s="99">
        <v>62</v>
      </c>
      <c r="F326" s="87">
        <v>288</v>
      </c>
      <c r="G326" s="100">
        <v>133</v>
      </c>
      <c r="H326" s="87">
        <v>135</v>
      </c>
      <c r="I326" s="97">
        <v>244</v>
      </c>
      <c r="J326" s="97">
        <v>236</v>
      </c>
      <c r="K326" s="87">
        <v>380</v>
      </c>
      <c r="L326" s="87">
        <v>154</v>
      </c>
      <c r="M326" s="87">
        <v>112</v>
      </c>
      <c r="N326" s="87">
        <v>93</v>
      </c>
      <c r="O326" s="87">
        <v>202</v>
      </c>
      <c r="P326" s="88">
        <f>SUM(D326:O326)</f>
        <v>2060</v>
      </c>
    </row>
    <row r="327" spans="1:17" ht="9.9" hidden="1" customHeight="1" x14ac:dyDescent="0.25">
      <c r="A327"/>
      <c r="B327" s="89"/>
      <c r="C327" s="86" t="s">
        <v>142</v>
      </c>
      <c r="D327" s="99">
        <v>115</v>
      </c>
      <c r="E327" s="99">
        <v>221</v>
      </c>
      <c r="F327" s="87">
        <v>335</v>
      </c>
      <c r="G327" s="100">
        <v>365</v>
      </c>
      <c r="H327" s="87">
        <v>288</v>
      </c>
      <c r="I327" s="97">
        <v>469</v>
      </c>
      <c r="J327" s="98">
        <v>469</v>
      </c>
      <c r="K327" s="90">
        <v>299</v>
      </c>
      <c r="L327" s="90">
        <v>470</v>
      </c>
      <c r="M327" s="90">
        <v>345</v>
      </c>
      <c r="N327" s="90">
        <v>259</v>
      </c>
      <c r="O327" s="90">
        <v>332</v>
      </c>
      <c r="P327" s="88">
        <f>SUM(D327:O327)</f>
        <v>3967</v>
      </c>
    </row>
    <row r="328" spans="1:17" ht="9.9" hidden="1" customHeight="1" x14ac:dyDescent="0.25">
      <c r="A328"/>
      <c r="J328" s="115"/>
    </row>
    <row r="329" spans="1:17" ht="6" hidden="1" customHeight="1" x14ac:dyDescent="0.25">
      <c r="A329"/>
      <c r="B329" s="92" t="s">
        <v>25</v>
      </c>
      <c r="C329" s="93"/>
      <c r="D329" s="83">
        <f>D330+D331+D333+D332</f>
        <v>4541</v>
      </c>
      <c r="E329" s="83">
        <f t="shared" ref="E329:P329" si="83">E330+E331+E333+E332</f>
        <v>5680</v>
      </c>
      <c r="F329" s="83">
        <f t="shared" si="83"/>
        <v>6036</v>
      </c>
      <c r="G329" s="83">
        <f t="shared" si="83"/>
        <v>8836</v>
      </c>
      <c r="H329" s="83">
        <f t="shared" si="83"/>
        <v>13376</v>
      </c>
      <c r="I329" s="83">
        <f t="shared" si="83"/>
        <v>9822</v>
      </c>
      <c r="J329" s="83">
        <f t="shared" si="83"/>
        <v>8071</v>
      </c>
      <c r="K329" s="83">
        <f t="shared" si="83"/>
        <v>8393</v>
      </c>
      <c r="L329" s="83">
        <f t="shared" si="83"/>
        <v>7156</v>
      </c>
      <c r="M329" s="83">
        <f t="shared" si="83"/>
        <v>10688</v>
      </c>
      <c r="N329" s="83">
        <f t="shared" si="83"/>
        <v>8832</v>
      </c>
      <c r="O329" s="83">
        <f t="shared" si="83"/>
        <v>8572</v>
      </c>
      <c r="P329" s="83">
        <f t="shared" si="83"/>
        <v>100003</v>
      </c>
    </row>
    <row r="330" spans="1:17" hidden="1" x14ac:dyDescent="0.25">
      <c r="A330"/>
      <c r="B330" s="85"/>
      <c r="C330" s="86" t="s">
        <v>52</v>
      </c>
      <c r="D330" s="122">
        <v>4271</v>
      </c>
      <c r="E330" s="122">
        <v>5363</v>
      </c>
      <c r="F330" s="122">
        <v>5660</v>
      </c>
      <c r="G330" s="87">
        <v>2529</v>
      </c>
      <c r="H330" s="87">
        <v>2026</v>
      </c>
      <c r="I330" s="87">
        <v>1865</v>
      </c>
      <c r="J330" s="87">
        <v>1737</v>
      </c>
      <c r="K330" s="87">
        <v>1861</v>
      </c>
      <c r="L330" s="87">
        <v>1799</v>
      </c>
      <c r="M330" s="87">
        <v>2444</v>
      </c>
      <c r="N330" s="87">
        <v>2081</v>
      </c>
      <c r="O330" s="87">
        <v>1895</v>
      </c>
      <c r="P330" s="88">
        <f>SUM(D330:O330)</f>
        <v>33531</v>
      </c>
    </row>
    <row r="331" spans="1:17" ht="9.75" hidden="1" customHeight="1" x14ac:dyDescent="0.25">
      <c r="A331"/>
      <c r="B331" s="85"/>
      <c r="C331" s="128" t="s">
        <v>141</v>
      </c>
      <c r="D331" s="122">
        <v>270</v>
      </c>
      <c r="E331" s="122">
        <v>317</v>
      </c>
      <c r="F331" s="122">
        <v>265</v>
      </c>
      <c r="G331" s="122">
        <v>179</v>
      </c>
      <c r="H331" s="122">
        <v>126</v>
      </c>
      <c r="I331" s="122">
        <v>70</v>
      </c>
      <c r="J331" s="122">
        <v>1</v>
      </c>
      <c r="K331" s="122">
        <v>0</v>
      </c>
      <c r="L331" s="122">
        <v>0</v>
      </c>
      <c r="M331" s="122">
        <v>0</v>
      </c>
      <c r="N331" s="122">
        <v>0</v>
      </c>
      <c r="O331" s="90">
        <v>0</v>
      </c>
      <c r="P331" s="88">
        <f>SUM(D331:O331)</f>
        <v>1228</v>
      </c>
    </row>
    <row r="332" spans="1:17" ht="9.75" hidden="1" customHeight="1" x14ac:dyDescent="0.25">
      <c r="A332"/>
      <c r="B332" s="85"/>
      <c r="C332" s="86" t="s">
        <v>136</v>
      </c>
      <c r="D332" s="87">
        <v>0</v>
      </c>
      <c r="E332" s="87">
        <v>0</v>
      </c>
      <c r="F332" s="87">
        <v>111</v>
      </c>
      <c r="G332" s="87">
        <v>6128</v>
      </c>
      <c r="H332" s="87">
        <v>11224</v>
      </c>
      <c r="I332" s="87">
        <v>7887</v>
      </c>
      <c r="J332" s="87">
        <v>6333</v>
      </c>
      <c r="K332" s="87">
        <v>5547</v>
      </c>
      <c r="L332" s="87">
        <v>4045</v>
      </c>
      <c r="M332" s="87">
        <v>6531</v>
      </c>
      <c r="N332" s="87">
        <v>5548</v>
      </c>
      <c r="O332" s="87">
        <v>5452</v>
      </c>
      <c r="P332" s="88">
        <f>SUM(D332:O332)</f>
        <v>58806</v>
      </c>
    </row>
    <row r="333" spans="1:17" ht="6" hidden="1" customHeight="1" x14ac:dyDescent="0.25">
      <c r="A333"/>
      <c r="B333" s="89"/>
      <c r="C333" s="86" t="s">
        <v>139</v>
      </c>
      <c r="D333" s="87">
        <v>0</v>
      </c>
      <c r="E333" s="87">
        <v>0</v>
      </c>
      <c r="F333" s="87">
        <v>0</v>
      </c>
      <c r="G333" s="87">
        <v>0</v>
      </c>
      <c r="H333" s="87">
        <v>0</v>
      </c>
      <c r="I333" s="87">
        <v>0</v>
      </c>
      <c r="J333" s="87">
        <v>0</v>
      </c>
      <c r="K333" s="87">
        <v>985</v>
      </c>
      <c r="L333" s="87">
        <v>1312</v>
      </c>
      <c r="M333" s="87">
        <v>1713</v>
      </c>
      <c r="N333" s="87">
        <v>1203</v>
      </c>
      <c r="O333" s="87">
        <v>1225</v>
      </c>
      <c r="P333" s="88">
        <f>SUM(D333:O333)</f>
        <v>6438</v>
      </c>
    </row>
    <row r="334" spans="1:17" ht="9.9" hidden="1" customHeight="1" x14ac:dyDescent="0.25">
      <c r="A334"/>
      <c r="B334" s="101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6"/>
    </row>
    <row r="335" spans="1:17" ht="9.9" hidden="1" customHeight="1" x14ac:dyDescent="0.25">
      <c r="A335"/>
      <c r="B335" s="81" t="s">
        <v>27</v>
      </c>
      <c r="C335" s="82"/>
      <c r="D335" s="83">
        <f t="shared" ref="D335:P335" si="84">SUM(D336:D337)</f>
        <v>10077</v>
      </c>
      <c r="E335" s="83">
        <f t="shared" si="84"/>
        <v>7720</v>
      </c>
      <c r="F335" s="83">
        <f t="shared" si="84"/>
        <v>10531</v>
      </c>
      <c r="G335" s="83">
        <f t="shared" si="84"/>
        <v>10135</v>
      </c>
      <c r="H335" s="83">
        <f t="shared" si="84"/>
        <v>8327</v>
      </c>
      <c r="I335" s="83">
        <f t="shared" si="84"/>
        <v>6652</v>
      </c>
      <c r="J335" s="83">
        <f t="shared" si="84"/>
        <v>6135</v>
      </c>
      <c r="K335" s="83">
        <f t="shared" si="84"/>
        <v>5514</v>
      </c>
      <c r="L335" s="83">
        <f t="shared" si="84"/>
        <v>4814</v>
      </c>
      <c r="M335" s="83">
        <f t="shared" si="84"/>
        <v>9867</v>
      </c>
      <c r="N335" s="83">
        <f t="shared" si="84"/>
        <v>10407</v>
      </c>
      <c r="O335" s="83">
        <f t="shared" si="84"/>
        <v>13170</v>
      </c>
      <c r="P335" s="83">
        <f t="shared" si="84"/>
        <v>103349</v>
      </c>
    </row>
    <row r="336" spans="1:17" ht="9.9" hidden="1" customHeight="1" x14ac:dyDescent="0.25">
      <c r="A336"/>
      <c r="B336" s="85"/>
      <c r="C336" s="147" t="s">
        <v>79</v>
      </c>
      <c r="D336" s="148">
        <v>7627</v>
      </c>
      <c r="E336" s="148">
        <v>5883</v>
      </c>
      <c r="F336" s="149">
        <v>7470</v>
      </c>
      <c r="G336" s="150">
        <v>6949</v>
      </c>
      <c r="H336" s="149">
        <v>5553</v>
      </c>
      <c r="I336" s="151">
        <v>3952</v>
      </c>
      <c r="J336" s="151">
        <v>3846</v>
      </c>
      <c r="K336" s="149">
        <v>4361</v>
      </c>
      <c r="L336" s="149">
        <v>3653</v>
      </c>
      <c r="M336" s="149">
        <v>6827</v>
      </c>
      <c r="N336" s="149">
        <v>8095</v>
      </c>
      <c r="O336" s="149">
        <v>9425</v>
      </c>
      <c r="P336" s="152">
        <f>SUM(D336:O336)</f>
        <v>73641</v>
      </c>
    </row>
    <row r="337" spans="1:17" ht="9.9" hidden="1" customHeight="1" x14ac:dyDescent="0.25">
      <c r="A337"/>
      <c r="B337" s="89"/>
      <c r="C337" s="86" t="s">
        <v>140</v>
      </c>
      <c r="D337" s="99">
        <v>2450</v>
      </c>
      <c r="E337" s="99">
        <v>1837</v>
      </c>
      <c r="F337" s="87">
        <v>3061</v>
      </c>
      <c r="G337" s="100">
        <v>3186</v>
      </c>
      <c r="H337" s="87">
        <v>2774</v>
      </c>
      <c r="I337" s="97">
        <v>2700</v>
      </c>
      <c r="J337" s="98">
        <v>2289</v>
      </c>
      <c r="K337" s="90">
        <v>1153</v>
      </c>
      <c r="L337" s="90">
        <v>1161</v>
      </c>
      <c r="M337" s="90">
        <v>3040</v>
      </c>
      <c r="N337" s="90">
        <v>2312</v>
      </c>
      <c r="O337" s="90">
        <v>3745</v>
      </c>
      <c r="P337" s="88">
        <f>SUM(D337:O337)</f>
        <v>29708</v>
      </c>
    </row>
    <row r="338" spans="1:17" s="196" customFormat="1" ht="6" hidden="1" customHeight="1" x14ac:dyDescent="0.25">
      <c r="A338"/>
      <c r="B338" s="101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6"/>
      <c r="Q338" s="195"/>
    </row>
    <row r="339" spans="1:17" hidden="1" x14ac:dyDescent="0.25">
      <c r="A339"/>
      <c r="B339" s="81" t="s">
        <v>113</v>
      </c>
      <c r="C339" s="82"/>
      <c r="D339" s="83">
        <f t="shared" ref="D339:P339" si="85">SUM(D340:D342)</f>
        <v>2310</v>
      </c>
      <c r="E339" s="83">
        <f t="shared" si="85"/>
        <v>1955</v>
      </c>
      <c r="F339" s="83">
        <f t="shared" si="85"/>
        <v>4529</v>
      </c>
      <c r="G339" s="83">
        <f t="shared" si="85"/>
        <v>4730</v>
      </c>
      <c r="H339" s="83">
        <f t="shared" si="85"/>
        <v>4328</v>
      </c>
      <c r="I339" s="83">
        <f t="shared" si="85"/>
        <v>3634</v>
      </c>
      <c r="J339" s="83">
        <f t="shared" si="85"/>
        <v>3187</v>
      </c>
      <c r="K339" s="83">
        <f t="shared" si="85"/>
        <v>2474</v>
      </c>
      <c r="L339" s="83">
        <f t="shared" si="85"/>
        <v>3636</v>
      </c>
      <c r="M339" s="83">
        <f t="shared" si="85"/>
        <v>4421</v>
      </c>
      <c r="N339" s="83">
        <f t="shared" si="85"/>
        <v>3720</v>
      </c>
      <c r="O339" s="83">
        <f t="shared" si="85"/>
        <v>3725</v>
      </c>
      <c r="P339" s="84">
        <f t="shared" si="85"/>
        <v>42649</v>
      </c>
    </row>
    <row r="340" spans="1:17" ht="9.9" hidden="1" customHeight="1" x14ac:dyDescent="0.25">
      <c r="A340"/>
      <c r="B340" s="85"/>
      <c r="C340" s="86" t="s">
        <v>128</v>
      </c>
      <c r="D340" s="99">
        <v>1922</v>
      </c>
      <c r="E340" s="99">
        <v>1722</v>
      </c>
      <c r="F340" s="87">
        <v>2378</v>
      </c>
      <c r="G340" s="100">
        <v>3001</v>
      </c>
      <c r="H340" s="87">
        <v>2457</v>
      </c>
      <c r="I340" s="97">
        <v>2309</v>
      </c>
      <c r="J340" s="98">
        <v>1659</v>
      </c>
      <c r="K340" s="90">
        <v>1461</v>
      </c>
      <c r="L340" s="90">
        <v>1978</v>
      </c>
      <c r="M340" s="90">
        <v>2741</v>
      </c>
      <c r="N340" s="90">
        <v>2179</v>
      </c>
      <c r="O340" s="90">
        <v>2084</v>
      </c>
      <c r="P340" s="88">
        <f>SUM(D340:O340)</f>
        <v>25891</v>
      </c>
    </row>
    <row r="341" spans="1:17" ht="9.9" hidden="1" customHeight="1" x14ac:dyDescent="0.25">
      <c r="B341" s="85"/>
      <c r="C341" s="86" t="s">
        <v>144</v>
      </c>
      <c r="D341" s="99">
        <v>388</v>
      </c>
      <c r="E341" s="99">
        <v>233</v>
      </c>
      <c r="F341" s="87">
        <v>2151</v>
      </c>
      <c r="G341" s="100">
        <v>1729</v>
      </c>
      <c r="H341" s="87">
        <v>1871</v>
      </c>
      <c r="I341" s="97">
        <v>1325</v>
      </c>
      <c r="J341" s="97">
        <v>1528</v>
      </c>
      <c r="K341" s="87">
        <v>1008</v>
      </c>
      <c r="L341" s="87">
        <v>893</v>
      </c>
      <c r="M341" s="87">
        <v>1009</v>
      </c>
      <c r="N341" s="87">
        <v>852</v>
      </c>
      <c r="O341" s="87">
        <v>600</v>
      </c>
      <c r="P341" s="88">
        <f>SUM(D341:O341)</f>
        <v>13587</v>
      </c>
    </row>
    <row r="342" spans="1:17" s="207" customFormat="1" ht="6" hidden="1" customHeight="1" x14ac:dyDescent="0.25">
      <c r="A342" s="20"/>
      <c r="B342" s="89"/>
      <c r="C342" s="86" t="s">
        <v>142</v>
      </c>
      <c r="D342" s="99">
        <v>0</v>
      </c>
      <c r="E342" s="99">
        <v>0</v>
      </c>
      <c r="F342" s="87">
        <v>0</v>
      </c>
      <c r="G342" s="100">
        <v>0</v>
      </c>
      <c r="H342" s="87">
        <v>0</v>
      </c>
      <c r="I342" s="97">
        <v>0</v>
      </c>
      <c r="J342" s="97">
        <v>0</v>
      </c>
      <c r="K342" s="87">
        <v>5</v>
      </c>
      <c r="L342" s="87">
        <v>765</v>
      </c>
      <c r="M342" s="87">
        <v>671</v>
      </c>
      <c r="N342" s="87">
        <v>689</v>
      </c>
      <c r="O342" s="87">
        <v>1041</v>
      </c>
      <c r="P342" s="88">
        <f>SUM(D342:O342)</f>
        <v>3171</v>
      </c>
      <c r="Q342" s="206"/>
    </row>
    <row r="343" spans="1:17" hidden="1" x14ac:dyDescent="0.25">
      <c r="A343" s="190"/>
      <c r="B343" s="191"/>
      <c r="C343" s="191"/>
      <c r="D343" s="192"/>
      <c r="E343" s="192"/>
      <c r="F343" s="192"/>
      <c r="G343" s="192"/>
      <c r="H343" s="192"/>
      <c r="I343" s="192"/>
      <c r="J343" s="193"/>
      <c r="K343" s="193"/>
      <c r="L343" s="193"/>
      <c r="M343" s="193"/>
      <c r="N343" s="193"/>
      <c r="O343" s="193"/>
      <c r="P343" s="194"/>
    </row>
    <row r="344" spans="1:17" ht="9.9" hidden="1" customHeight="1" x14ac:dyDescent="0.25">
      <c r="B344" s="81" t="s">
        <v>129</v>
      </c>
      <c r="C344" s="82"/>
      <c r="D344" s="83">
        <f t="shared" ref="D344:P344" si="86">SUM(D345:D346)</f>
        <v>1387</v>
      </c>
      <c r="E344" s="83">
        <f t="shared" si="86"/>
        <v>960</v>
      </c>
      <c r="F344" s="83">
        <f t="shared" si="86"/>
        <v>2374</v>
      </c>
      <c r="G344" s="83">
        <f t="shared" si="86"/>
        <v>2806</v>
      </c>
      <c r="H344" s="83">
        <f t="shared" si="86"/>
        <v>2206</v>
      </c>
      <c r="I344" s="83">
        <f t="shared" si="86"/>
        <v>1166</v>
      </c>
      <c r="J344" s="83">
        <f t="shared" si="86"/>
        <v>1153</v>
      </c>
      <c r="K344" s="83">
        <f t="shared" si="86"/>
        <v>1039</v>
      </c>
      <c r="L344" s="83">
        <f t="shared" si="86"/>
        <v>933</v>
      </c>
      <c r="M344" s="83">
        <f t="shared" si="86"/>
        <v>935</v>
      </c>
      <c r="N344" s="83">
        <f t="shared" si="86"/>
        <v>1086</v>
      </c>
      <c r="O344" s="83">
        <f t="shared" si="86"/>
        <v>1497</v>
      </c>
      <c r="P344" s="84">
        <f t="shared" si="86"/>
        <v>17542</v>
      </c>
    </row>
    <row r="345" spans="1:17" ht="9.9" hidden="1" customHeight="1" x14ac:dyDescent="0.25">
      <c r="B345" s="85"/>
      <c r="C345" s="86" t="s">
        <v>64</v>
      </c>
      <c r="D345" s="99">
        <v>39</v>
      </c>
      <c r="E345" s="99">
        <v>36</v>
      </c>
      <c r="F345" s="87">
        <v>28</v>
      </c>
      <c r="G345" s="100">
        <v>25</v>
      </c>
      <c r="H345" s="87">
        <v>2</v>
      </c>
      <c r="I345" s="97">
        <v>0</v>
      </c>
      <c r="J345" s="97">
        <v>0</v>
      </c>
      <c r="K345" s="87">
        <v>0</v>
      </c>
      <c r="L345" s="87">
        <v>0</v>
      </c>
      <c r="M345" s="87">
        <v>0</v>
      </c>
      <c r="N345" s="87">
        <v>0</v>
      </c>
      <c r="O345" s="87">
        <v>0</v>
      </c>
      <c r="P345" s="88">
        <f>SUM(D345:O345)</f>
        <v>130</v>
      </c>
    </row>
    <row r="346" spans="1:17" s="208" customFormat="1" ht="6.75" hidden="1" customHeight="1" x14ac:dyDescent="0.25">
      <c r="A346" s="20"/>
      <c r="B346" s="89"/>
      <c r="C346" s="86" t="s">
        <v>131</v>
      </c>
      <c r="D346" s="99">
        <v>1348</v>
      </c>
      <c r="E346" s="99">
        <v>924</v>
      </c>
      <c r="F346" s="99">
        <v>2346</v>
      </c>
      <c r="G346" s="99">
        <v>2781</v>
      </c>
      <c r="H346" s="99">
        <v>2204</v>
      </c>
      <c r="I346" s="99">
        <v>1166</v>
      </c>
      <c r="J346" s="99">
        <v>1153</v>
      </c>
      <c r="K346" s="99">
        <v>1039</v>
      </c>
      <c r="L346" s="99">
        <v>933</v>
      </c>
      <c r="M346" s="99">
        <v>935</v>
      </c>
      <c r="N346" s="90">
        <v>1086</v>
      </c>
      <c r="O346" s="90">
        <v>1497</v>
      </c>
      <c r="P346" s="88">
        <f>SUM(D346:O346)</f>
        <v>17412</v>
      </c>
      <c r="Q346" s="210"/>
    </row>
    <row r="347" spans="1:17" hidden="1" x14ac:dyDescent="0.25">
      <c r="A347" s="202"/>
      <c r="B347" s="101"/>
      <c r="C347" s="101"/>
      <c r="D347" s="203"/>
      <c r="E347" s="203"/>
      <c r="F347" s="203"/>
      <c r="G347" s="203"/>
      <c r="H347" s="203"/>
      <c r="I347" s="203"/>
      <c r="J347" s="203"/>
      <c r="K347" s="203"/>
      <c r="L347" s="203"/>
      <c r="M347" s="203"/>
      <c r="N347" s="204"/>
      <c r="O347" s="204"/>
      <c r="P347" s="205"/>
    </row>
    <row r="348" spans="1:17" ht="12.75" hidden="1" customHeight="1" x14ac:dyDescent="0.25">
      <c r="B348" s="81" t="s">
        <v>145</v>
      </c>
      <c r="C348" s="82"/>
      <c r="D348" s="83">
        <f t="shared" ref="D348:P348" si="87">SUM(D349:D350)</f>
        <v>8951</v>
      </c>
      <c r="E348" s="83">
        <f t="shared" si="87"/>
        <v>6797</v>
      </c>
      <c r="F348" s="83">
        <f t="shared" si="87"/>
        <v>9412</v>
      </c>
      <c r="G348" s="83">
        <f t="shared" si="87"/>
        <v>9502</v>
      </c>
      <c r="H348" s="83">
        <f t="shared" si="87"/>
        <v>9254</v>
      </c>
      <c r="I348" s="83">
        <f t="shared" si="87"/>
        <v>9180</v>
      </c>
      <c r="J348" s="83">
        <f t="shared" si="87"/>
        <v>10355</v>
      </c>
      <c r="K348" s="83">
        <f t="shared" si="87"/>
        <v>6971</v>
      </c>
      <c r="L348" s="83">
        <f t="shared" si="87"/>
        <v>5094</v>
      </c>
      <c r="M348" s="83">
        <f t="shared" si="87"/>
        <v>7041</v>
      </c>
      <c r="N348" s="83">
        <f t="shared" si="87"/>
        <v>8402</v>
      </c>
      <c r="O348" s="83">
        <f t="shared" si="87"/>
        <v>7566</v>
      </c>
      <c r="P348" s="84">
        <f t="shared" si="87"/>
        <v>98525</v>
      </c>
    </row>
    <row r="349" spans="1:17" ht="12.75" hidden="1" customHeight="1" x14ac:dyDescent="0.25">
      <c r="B349" s="85"/>
      <c r="C349" s="86" t="s">
        <v>12</v>
      </c>
      <c r="D349" s="99">
        <v>8951</v>
      </c>
      <c r="E349" s="99">
        <v>6797</v>
      </c>
      <c r="F349" s="87">
        <v>9412</v>
      </c>
      <c r="G349" s="100">
        <v>9502</v>
      </c>
      <c r="H349" s="87">
        <v>9254</v>
      </c>
      <c r="I349" s="97">
        <v>9180</v>
      </c>
      <c r="J349" s="97">
        <v>10355</v>
      </c>
      <c r="K349" s="87">
        <v>6971</v>
      </c>
      <c r="L349" s="87">
        <v>5094</v>
      </c>
      <c r="M349" s="87">
        <v>7041</v>
      </c>
      <c r="N349" s="87">
        <v>8402</v>
      </c>
      <c r="O349" s="87">
        <v>7442</v>
      </c>
      <c r="P349" s="88">
        <f>SUM(D349:O349)</f>
        <v>98401</v>
      </c>
      <c r="Q349"/>
    </row>
    <row r="350" spans="1:17" ht="12.75" hidden="1" customHeight="1" x14ac:dyDescent="0.25">
      <c r="B350" s="89"/>
      <c r="C350" s="86" t="s">
        <v>143</v>
      </c>
      <c r="D350" s="99">
        <v>0</v>
      </c>
      <c r="E350" s="99">
        <v>0</v>
      </c>
      <c r="F350" s="99">
        <v>0</v>
      </c>
      <c r="G350" s="99">
        <v>0</v>
      </c>
      <c r="H350" s="99">
        <v>0</v>
      </c>
      <c r="I350" s="99">
        <v>0</v>
      </c>
      <c r="J350" s="99">
        <v>0</v>
      </c>
      <c r="K350" s="99">
        <v>0</v>
      </c>
      <c r="L350" s="99">
        <v>0</v>
      </c>
      <c r="M350" s="99">
        <v>0</v>
      </c>
      <c r="N350" s="90">
        <v>0</v>
      </c>
      <c r="O350" s="90">
        <v>124</v>
      </c>
      <c r="P350" s="88">
        <f>SUM(D350:O350)</f>
        <v>124</v>
      </c>
      <c r="Q350"/>
    </row>
    <row r="351" spans="1:17" ht="12.75" hidden="1" customHeight="1" x14ac:dyDescent="0.25">
      <c r="A351" s="208"/>
      <c r="B351" s="208"/>
      <c r="C351" s="208"/>
      <c r="D351" s="209"/>
      <c r="E351" s="209"/>
      <c r="F351" s="209"/>
      <c r="G351" s="209"/>
      <c r="H351" s="209"/>
      <c r="I351" s="209"/>
      <c r="J351" s="209"/>
      <c r="K351" s="209"/>
      <c r="L351" s="209"/>
      <c r="M351" s="209"/>
      <c r="N351" s="209"/>
      <c r="O351" s="209"/>
      <c r="P351" s="208"/>
      <c r="Q351"/>
    </row>
    <row r="352" spans="1:17" ht="12.75" hidden="1" customHeight="1" thickBot="1" x14ac:dyDescent="0.3">
      <c r="B352" s="18" t="s">
        <v>120</v>
      </c>
      <c r="C352" s="18"/>
      <c r="Q352"/>
    </row>
    <row r="353" spans="1:17" ht="12.75" hidden="1" customHeight="1" thickBot="1" x14ac:dyDescent="0.3">
      <c r="B353" s="435" t="s">
        <v>1</v>
      </c>
      <c r="C353" s="436"/>
      <c r="D353" s="21">
        <v>1</v>
      </c>
      <c r="E353" s="22">
        <v>2</v>
      </c>
      <c r="F353" s="22">
        <v>3</v>
      </c>
      <c r="G353" s="22">
        <v>4</v>
      </c>
      <c r="H353" s="22">
        <v>5</v>
      </c>
      <c r="I353" s="22">
        <v>6</v>
      </c>
      <c r="J353" s="22">
        <v>7</v>
      </c>
      <c r="K353" s="22">
        <v>8</v>
      </c>
      <c r="L353" s="22">
        <v>9</v>
      </c>
      <c r="M353" s="22">
        <v>10</v>
      </c>
      <c r="N353" s="22">
        <v>11</v>
      </c>
      <c r="O353" s="22">
        <v>12</v>
      </c>
      <c r="P353" s="23" t="s">
        <v>0</v>
      </c>
      <c r="Q353"/>
    </row>
    <row r="354" spans="1:17" ht="12.75" hidden="1" customHeight="1" x14ac:dyDescent="0.25">
      <c r="B354" s="437" t="s">
        <v>45</v>
      </c>
      <c r="C354" s="174" t="s">
        <v>21</v>
      </c>
      <c r="D354" s="39">
        <v>523</v>
      </c>
      <c r="E354" s="40">
        <v>427</v>
      </c>
      <c r="F354" s="39">
        <v>574</v>
      </c>
      <c r="G354" s="40">
        <v>564</v>
      </c>
      <c r="H354" s="40">
        <v>387</v>
      </c>
      <c r="I354" s="40">
        <v>519</v>
      </c>
      <c r="J354" s="40">
        <v>322</v>
      </c>
      <c r="K354" s="40">
        <v>520</v>
      </c>
      <c r="L354" s="40">
        <v>398</v>
      </c>
      <c r="M354" s="40">
        <v>509</v>
      </c>
      <c r="N354" s="40">
        <v>489</v>
      </c>
      <c r="O354" s="40">
        <v>466</v>
      </c>
      <c r="P354" s="41">
        <f t="shared" ref="P354:P362" si="88">SUM(D354:O354)</f>
        <v>5698</v>
      </c>
      <c r="Q354"/>
    </row>
    <row r="355" spans="1:17" ht="12.75" hidden="1" customHeight="1" x14ac:dyDescent="0.25">
      <c r="B355" s="438"/>
      <c r="C355" s="175" t="s">
        <v>22</v>
      </c>
      <c r="D355" s="75">
        <v>0</v>
      </c>
      <c r="E355" s="76">
        <v>109</v>
      </c>
      <c r="F355" s="75">
        <v>279</v>
      </c>
      <c r="G355" s="76">
        <v>435</v>
      </c>
      <c r="H355" s="76">
        <v>335</v>
      </c>
      <c r="I355" s="76">
        <v>327</v>
      </c>
      <c r="J355" s="76">
        <v>312</v>
      </c>
      <c r="K355" s="76">
        <v>681</v>
      </c>
      <c r="L355" s="78">
        <v>503</v>
      </c>
      <c r="M355" s="76">
        <v>407</v>
      </c>
      <c r="N355" s="76">
        <v>268</v>
      </c>
      <c r="O355" s="76">
        <v>598</v>
      </c>
      <c r="P355" s="77">
        <f t="shared" si="88"/>
        <v>4254</v>
      </c>
      <c r="Q355"/>
    </row>
    <row r="356" spans="1:17" ht="12.75" hidden="1" customHeight="1" x14ac:dyDescent="0.25">
      <c r="B356" s="438"/>
      <c r="C356" s="175" t="s">
        <v>24</v>
      </c>
      <c r="D356" s="75">
        <v>5677</v>
      </c>
      <c r="E356" s="75">
        <v>5807</v>
      </c>
      <c r="F356" s="75">
        <v>5928</v>
      </c>
      <c r="G356" s="75">
        <v>5898</v>
      </c>
      <c r="H356" s="75">
        <v>6565</v>
      </c>
      <c r="I356" s="75">
        <v>5928</v>
      </c>
      <c r="J356" s="75">
        <v>7522</v>
      </c>
      <c r="K356" s="75">
        <v>8136</v>
      </c>
      <c r="L356" s="75">
        <v>5488</v>
      </c>
      <c r="M356" s="75">
        <v>7228</v>
      </c>
      <c r="N356" s="75">
        <v>6243</v>
      </c>
      <c r="O356" s="75">
        <v>5411</v>
      </c>
      <c r="P356" s="31">
        <f t="shared" si="88"/>
        <v>75831</v>
      </c>
      <c r="Q356"/>
    </row>
    <row r="357" spans="1:17" ht="12.75" hidden="1" customHeight="1" x14ac:dyDescent="0.25">
      <c r="A357"/>
      <c r="B357" s="438"/>
      <c r="C357" s="175" t="s">
        <v>68</v>
      </c>
      <c r="D357" s="75">
        <v>1298</v>
      </c>
      <c r="E357" s="75">
        <v>1282</v>
      </c>
      <c r="F357" s="75">
        <v>1097</v>
      </c>
      <c r="G357" s="75">
        <v>852</v>
      </c>
      <c r="H357" s="75">
        <v>814</v>
      </c>
      <c r="I357" s="75">
        <v>746</v>
      </c>
      <c r="J357" s="75">
        <v>417</v>
      </c>
      <c r="K357" s="75">
        <v>488</v>
      </c>
      <c r="L357" s="75">
        <v>360</v>
      </c>
      <c r="M357" s="75">
        <v>541</v>
      </c>
      <c r="N357" s="75">
        <v>687</v>
      </c>
      <c r="O357" s="75">
        <v>844</v>
      </c>
      <c r="P357" s="27">
        <f t="shared" si="88"/>
        <v>9426</v>
      </c>
      <c r="Q357"/>
    </row>
    <row r="358" spans="1:17" ht="12.75" hidden="1" customHeight="1" x14ac:dyDescent="0.25">
      <c r="A358"/>
      <c r="B358" s="438"/>
      <c r="C358" s="176" t="s">
        <v>3</v>
      </c>
      <c r="D358" s="29">
        <v>301</v>
      </c>
      <c r="E358" s="30">
        <v>304</v>
      </c>
      <c r="F358" s="29">
        <v>337</v>
      </c>
      <c r="G358" s="30">
        <v>265</v>
      </c>
      <c r="H358" s="30">
        <v>231</v>
      </c>
      <c r="I358" s="30">
        <v>236</v>
      </c>
      <c r="J358" s="30">
        <v>201</v>
      </c>
      <c r="K358" s="30">
        <v>272</v>
      </c>
      <c r="L358" s="32">
        <v>203</v>
      </c>
      <c r="M358" s="30">
        <v>279</v>
      </c>
      <c r="N358" s="30">
        <v>301</v>
      </c>
      <c r="O358" s="30">
        <v>295</v>
      </c>
      <c r="P358" s="77">
        <f t="shared" si="88"/>
        <v>3225</v>
      </c>
      <c r="Q358"/>
    </row>
    <row r="359" spans="1:17" ht="12.75" hidden="1" customHeight="1" x14ac:dyDescent="0.25">
      <c r="A359"/>
      <c r="B359" s="438"/>
      <c r="C359" s="177" t="s">
        <v>25</v>
      </c>
      <c r="D359" s="73">
        <f>5230+290</f>
        <v>5520</v>
      </c>
      <c r="E359" s="73">
        <v>5079</v>
      </c>
      <c r="F359" s="73">
        <v>5685</v>
      </c>
      <c r="G359" s="73">
        <v>5699</v>
      </c>
      <c r="H359" s="73">
        <v>5542</v>
      </c>
      <c r="I359" s="73">
        <v>5245</v>
      </c>
      <c r="J359" s="73">
        <v>5948</v>
      </c>
      <c r="K359" s="73">
        <v>5881</v>
      </c>
      <c r="L359" s="73">
        <v>4396</v>
      </c>
      <c r="M359" s="73">
        <v>6326</v>
      </c>
      <c r="N359" s="73">
        <v>5335</v>
      </c>
      <c r="O359" s="73">
        <v>5190</v>
      </c>
      <c r="P359" s="77">
        <f t="shared" si="88"/>
        <v>65846</v>
      </c>
      <c r="Q359"/>
    </row>
    <row r="360" spans="1:17" ht="12.75" hidden="1" customHeight="1" x14ac:dyDescent="0.25">
      <c r="A360"/>
      <c r="B360" s="438"/>
      <c r="C360" s="177" t="s">
        <v>43</v>
      </c>
      <c r="D360" s="73">
        <v>14</v>
      </c>
      <c r="E360" s="73">
        <v>17</v>
      </c>
      <c r="F360" s="73">
        <v>8</v>
      </c>
      <c r="G360" s="73">
        <v>28</v>
      </c>
      <c r="H360" s="73">
        <v>13</v>
      </c>
      <c r="I360" s="73">
        <v>8</v>
      </c>
      <c r="J360" s="73">
        <v>20</v>
      </c>
      <c r="K360" s="73">
        <v>24</v>
      </c>
      <c r="L360" s="73">
        <v>14</v>
      </c>
      <c r="M360" s="73">
        <v>20</v>
      </c>
      <c r="N360" s="73">
        <v>30</v>
      </c>
      <c r="O360" s="73">
        <v>17</v>
      </c>
      <c r="P360" s="77">
        <f t="shared" si="88"/>
        <v>213</v>
      </c>
      <c r="Q360"/>
    </row>
    <row r="361" spans="1:17" ht="12.75" hidden="1" customHeight="1" x14ac:dyDescent="0.25">
      <c r="A361"/>
      <c r="B361" s="438"/>
      <c r="C361" s="178" t="s">
        <v>27</v>
      </c>
      <c r="D361" s="71">
        <f>7662+1939</f>
        <v>9601</v>
      </c>
      <c r="E361" s="71">
        <v>8984</v>
      </c>
      <c r="F361" s="71">
        <v>10598</v>
      </c>
      <c r="G361" s="71">
        <v>9904</v>
      </c>
      <c r="H361" s="71">
        <v>10436</v>
      </c>
      <c r="I361" s="71">
        <v>8945</v>
      </c>
      <c r="J361" s="71">
        <v>8571</v>
      </c>
      <c r="K361" s="71">
        <v>8905</v>
      </c>
      <c r="L361" s="71">
        <v>7510</v>
      </c>
      <c r="M361" s="71">
        <v>9037</v>
      </c>
      <c r="N361" s="71">
        <v>10191</v>
      </c>
      <c r="O361" s="71">
        <v>10419</v>
      </c>
      <c r="P361" s="77">
        <f t="shared" si="88"/>
        <v>113101</v>
      </c>
      <c r="Q361"/>
    </row>
    <row r="362" spans="1:17" ht="12.75" hidden="1" customHeight="1" x14ac:dyDescent="0.25">
      <c r="A362"/>
      <c r="B362" s="438"/>
      <c r="C362" s="179" t="s">
        <v>55</v>
      </c>
      <c r="D362" s="126">
        <v>20</v>
      </c>
      <c r="E362" s="127">
        <v>0</v>
      </c>
      <c r="F362" s="127">
        <v>0</v>
      </c>
      <c r="G362" s="127">
        <v>0</v>
      </c>
      <c r="H362" s="127">
        <v>0</v>
      </c>
      <c r="I362" s="127">
        <v>0</v>
      </c>
      <c r="J362" s="127">
        <v>0</v>
      </c>
      <c r="K362" s="127">
        <v>0</v>
      </c>
      <c r="L362" s="127">
        <v>0</v>
      </c>
      <c r="M362" s="126">
        <v>0</v>
      </c>
      <c r="N362" s="126">
        <v>0</v>
      </c>
      <c r="O362" s="126">
        <v>0</v>
      </c>
      <c r="P362" s="77">
        <f t="shared" si="88"/>
        <v>20</v>
      </c>
      <c r="Q362"/>
    </row>
    <row r="363" spans="1:17" ht="12.75" hidden="1" customHeight="1" thickBot="1" x14ac:dyDescent="0.3">
      <c r="A363"/>
      <c r="B363" s="431"/>
      <c r="C363" s="180" t="s">
        <v>0</v>
      </c>
      <c r="D363" s="43">
        <f t="shared" ref="D363:P363" si="89">SUM(D354:D362)</f>
        <v>22954</v>
      </c>
      <c r="E363" s="43">
        <f t="shared" si="89"/>
        <v>22009</v>
      </c>
      <c r="F363" s="43">
        <f t="shared" si="89"/>
        <v>24506</v>
      </c>
      <c r="G363" s="43">
        <f t="shared" si="89"/>
        <v>23645</v>
      </c>
      <c r="H363" s="43">
        <f t="shared" si="89"/>
        <v>24323</v>
      </c>
      <c r="I363" s="43">
        <f t="shared" si="89"/>
        <v>21954</v>
      </c>
      <c r="J363" s="43">
        <f t="shared" si="89"/>
        <v>23313</v>
      </c>
      <c r="K363" s="43">
        <f t="shared" si="89"/>
        <v>24907</v>
      </c>
      <c r="L363" s="43">
        <f t="shared" si="89"/>
        <v>18872</v>
      </c>
      <c r="M363" s="43">
        <f t="shared" si="89"/>
        <v>24347</v>
      </c>
      <c r="N363" s="43">
        <f t="shared" si="89"/>
        <v>23544</v>
      </c>
      <c r="O363" s="43">
        <f t="shared" si="89"/>
        <v>23240</v>
      </c>
      <c r="P363" s="44">
        <f t="shared" si="89"/>
        <v>277614</v>
      </c>
      <c r="Q363"/>
    </row>
    <row r="364" spans="1:17" ht="12.75" hidden="1" customHeight="1" x14ac:dyDescent="0.25">
      <c r="A364"/>
      <c r="B364" s="433" t="s">
        <v>44</v>
      </c>
      <c r="C364" s="174" t="s">
        <v>113</v>
      </c>
      <c r="D364" s="39">
        <v>3507</v>
      </c>
      <c r="E364" s="40">
        <v>3366</v>
      </c>
      <c r="F364" s="40">
        <v>4098</v>
      </c>
      <c r="G364" s="40">
        <v>3490</v>
      </c>
      <c r="H364" s="40">
        <v>3741</v>
      </c>
      <c r="I364" s="40">
        <v>4014</v>
      </c>
      <c r="J364" s="40">
        <v>4917</v>
      </c>
      <c r="K364" s="40">
        <v>3994</v>
      </c>
      <c r="L364" s="40">
        <v>3816</v>
      </c>
      <c r="M364" s="40">
        <v>5375</v>
      </c>
      <c r="N364" s="40">
        <v>5558</v>
      </c>
      <c r="O364" s="40">
        <v>4592</v>
      </c>
      <c r="P364" s="41">
        <f t="shared" ref="P364:P369" si="90">SUM(D364:O364)</f>
        <v>50468</v>
      </c>
      <c r="Q364"/>
    </row>
    <row r="365" spans="1:17" ht="12.75" hidden="1" customHeight="1" x14ac:dyDescent="0.25">
      <c r="A365"/>
      <c r="B365" s="433"/>
      <c r="C365" s="181" t="s">
        <v>59</v>
      </c>
      <c r="D365" s="25">
        <v>2813</v>
      </c>
      <c r="E365" s="26">
        <v>2766</v>
      </c>
      <c r="F365" s="26">
        <v>3390</v>
      </c>
      <c r="G365" s="26">
        <v>2703</v>
      </c>
      <c r="H365" s="26">
        <v>2966</v>
      </c>
      <c r="I365" s="26">
        <v>3237</v>
      </c>
      <c r="J365" s="26">
        <v>2973</v>
      </c>
      <c r="K365" s="26">
        <v>4148</v>
      </c>
      <c r="L365" s="26">
        <v>3704</v>
      </c>
      <c r="M365" s="26">
        <v>4865</v>
      </c>
      <c r="N365" s="26">
        <v>4280</v>
      </c>
      <c r="O365" s="26">
        <v>4778</v>
      </c>
      <c r="P365" s="27">
        <f t="shared" si="90"/>
        <v>42623</v>
      </c>
      <c r="Q365"/>
    </row>
    <row r="366" spans="1:17" ht="12.75" hidden="1" customHeight="1" x14ac:dyDescent="0.25">
      <c r="A366"/>
      <c r="B366" s="433"/>
      <c r="C366" s="181" t="s">
        <v>125</v>
      </c>
      <c r="D366" s="25">
        <v>0</v>
      </c>
      <c r="E366" s="26">
        <v>0</v>
      </c>
      <c r="F366" s="26">
        <v>11</v>
      </c>
      <c r="G366" s="26">
        <v>51</v>
      </c>
      <c r="H366" s="26">
        <v>62</v>
      </c>
      <c r="I366" s="26">
        <v>55</v>
      </c>
      <c r="J366" s="26">
        <v>29</v>
      </c>
      <c r="K366" s="26">
        <v>43</v>
      </c>
      <c r="L366" s="26">
        <v>49</v>
      </c>
      <c r="M366" s="26">
        <v>127</v>
      </c>
      <c r="N366" s="26">
        <v>160</v>
      </c>
      <c r="O366" s="26">
        <v>140</v>
      </c>
      <c r="P366" s="197">
        <f t="shared" si="90"/>
        <v>727</v>
      </c>
      <c r="Q366"/>
    </row>
    <row r="367" spans="1:17" ht="12.75" hidden="1" customHeight="1" x14ac:dyDescent="0.25">
      <c r="A367"/>
      <c r="B367" s="433"/>
      <c r="C367" s="176" t="s">
        <v>8</v>
      </c>
      <c r="D367" s="29">
        <v>2957</v>
      </c>
      <c r="E367" s="30">
        <v>4141</v>
      </c>
      <c r="F367" s="30">
        <v>13076</v>
      </c>
      <c r="G367" s="30">
        <v>11837</v>
      </c>
      <c r="H367" s="30">
        <v>10668</v>
      </c>
      <c r="I367" s="30">
        <v>9074</v>
      </c>
      <c r="J367" s="30">
        <v>9893</v>
      </c>
      <c r="K367" s="30">
        <v>9805</v>
      </c>
      <c r="L367" s="30">
        <v>8326</v>
      </c>
      <c r="M367" s="30">
        <v>9781</v>
      </c>
      <c r="N367" s="30">
        <v>9001</v>
      </c>
      <c r="O367" s="30">
        <v>8643</v>
      </c>
      <c r="P367" s="77">
        <f t="shared" si="90"/>
        <v>107202</v>
      </c>
      <c r="Q367"/>
    </row>
    <row r="368" spans="1:17" ht="12.75" hidden="1" customHeight="1" x14ac:dyDescent="0.25">
      <c r="A368"/>
      <c r="B368" s="433"/>
      <c r="C368" s="176" t="s">
        <v>50</v>
      </c>
      <c r="D368" s="29">
        <v>326</v>
      </c>
      <c r="E368" s="30">
        <v>231</v>
      </c>
      <c r="F368" s="30">
        <v>280</v>
      </c>
      <c r="G368" s="30">
        <v>203</v>
      </c>
      <c r="H368" s="30">
        <v>140</v>
      </c>
      <c r="I368" s="30">
        <v>119</v>
      </c>
      <c r="J368" s="30">
        <v>195</v>
      </c>
      <c r="K368" s="30">
        <v>157</v>
      </c>
      <c r="L368" s="30">
        <v>55</v>
      </c>
      <c r="M368" s="30">
        <v>25</v>
      </c>
      <c r="N368" s="30">
        <v>19</v>
      </c>
      <c r="O368" s="30">
        <v>15</v>
      </c>
      <c r="P368" s="31">
        <f t="shared" si="90"/>
        <v>1765</v>
      </c>
      <c r="Q368"/>
    </row>
    <row r="369" spans="1:17" ht="12.75" hidden="1" customHeight="1" x14ac:dyDescent="0.25">
      <c r="A369"/>
      <c r="B369" s="433"/>
      <c r="C369" s="176" t="s">
        <v>134</v>
      </c>
      <c r="D369" s="29">
        <v>0</v>
      </c>
      <c r="E369" s="30">
        <v>0</v>
      </c>
      <c r="F369" s="30">
        <v>0</v>
      </c>
      <c r="G369" s="30">
        <v>0</v>
      </c>
      <c r="H369" s="30">
        <v>0</v>
      </c>
      <c r="I369" s="30">
        <v>0</v>
      </c>
      <c r="J369" s="30">
        <v>0</v>
      </c>
      <c r="K369" s="30">
        <v>0</v>
      </c>
      <c r="L369" s="30">
        <v>0</v>
      </c>
      <c r="M369" s="30">
        <v>0</v>
      </c>
      <c r="N369" s="30">
        <v>0</v>
      </c>
      <c r="O369" s="30">
        <v>1908</v>
      </c>
      <c r="P369" s="31">
        <f t="shared" si="90"/>
        <v>1908</v>
      </c>
      <c r="Q369"/>
    </row>
    <row r="370" spans="1:17" ht="12.75" hidden="1" customHeight="1" thickBot="1" x14ac:dyDescent="0.3">
      <c r="A370"/>
      <c r="B370" s="439"/>
      <c r="C370" s="182" t="s">
        <v>0</v>
      </c>
      <c r="D370" s="36">
        <f t="shared" ref="D370:O370" si="91">SUM(D364:D369)</f>
        <v>9603</v>
      </c>
      <c r="E370" s="36">
        <f t="shared" si="91"/>
        <v>10504</v>
      </c>
      <c r="F370" s="36">
        <f t="shared" si="91"/>
        <v>20855</v>
      </c>
      <c r="G370" s="36">
        <f t="shared" si="91"/>
        <v>18284</v>
      </c>
      <c r="H370" s="36">
        <f t="shared" si="91"/>
        <v>17577</v>
      </c>
      <c r="I370" s="36">
        <f t="shared" si="91"/>
        <v>16499</v>
      </c>
      <c r="J370" s="36">
        <f t="shared" si="91"/>
        <v>18007</v>
      </c>
      <c r="K370" s="36">
        <f t="shared" si="91"/>
        <v>18147</v>
      </c>
      <c r="L370" s="36">
        <f t="shared" si="91"/>
        <v>15950</v>
      </c>
      <c r="M370" s="36">
        <f t="shared" si="91"/>
        <v>20173</v>
      </c>
      <c r="N370" s="36">
        <f t="shared" si="91"/>
        <v>19018</v>
      </c>
      <c r="O370" s="36">
        <f t="shared" si="91"/>
        <v>20076</v>
      </c>
      <c r="P370" s="37">
        <f>SUM(P364:P369)</f>
        <v>204693</v>
      </c>
      <c r="Q370"/>
    </row>
    <row r="371" spans="1:17" ht="12.75" hidden="1" customHeight="1" x14ac:dyDescent="0.25">
      <c r="A371"/>
      <c r="B371" s="429" t="s">
        <v>9</v>
      </c>
      <c r="C371" s="174" t="s">
        <v>11</v>
      </c>
      <c r="D371" s="39">
        <v>3903</v>
      </c>
      <c r="E371" s="40">
        <v>3333</v>
      </c>
      <c r="F371" s="40">
        <v>4540</v>
      </c>
      <c r="G371" s="40">
        <v>4237</v>
      </c>
      <c r="H371" s="40">
        <v>3073</v>
      </c>
      <c r="I371" s="40">
        <v>5126</v>
      </c>
      <c r="J371" s="40">
        <v>4525</v>
      </c>
      <c r="K371" s="40">
        <v>2593</v>
      </c>
      <c r="L371" s="40">
        <v>4874</v>
      </c>
      <c r="M371" s="40">
        <v>4981</v>
      </c>
      <c r="N371" s="40">
        <v>5090</v>
      </c>
      <c r="O371" s="40">
        <v>3905</v>
      </c>
      <c r="P371" s="41">
        <f>SUM(D371:O371)</f>
        <v>50180</v>
      </c>
      <c r="Q371"/>
    </row>
    <row r="372" spans="1:17" ht="12.75" hidden="1" customHeight="1" x14ac:dyDescent="0.25">
      <c r="A372"/>
      <c r="B372" s="430"/>
      <c r="C372" s="181" t="s">
        <v>12</v>
      </c>
      <c r="D372" s="25">
        <v>6247</v>
      </c>
      <c r="E372" s="26">
        <v>7194</v>
      </c>
      <c r="F372" s="26">
        <v>8881</v>
      </c>
      <c r="G372" s="26">
        <v>9444</v>
      </c>
      <c r="H372" s="26">
        <v>9304</v>
      </c>
      <c r="I372" s="26">
        <v>8442</v>
      </c>
      <c r="J372" s="26">
        <v>8003</v>
      </c>
      <c r="K372" s="26">
        <v>6157</v>
      </c>
      <c r="L372" s="26">
        <v>6876</v>
      </c>
      <c r="M372" s="26">
        <v>9261</v>
      </c>
      <c r="N372" s="26">
        <v>8858</v>
      </c>
      <c r="O372" s="26">
        <v>9328</v>
      </c>
      <c r="P372" s="27">
        <f>SUM(D372:O372)</f>
        <v>97995</v>
      </c>
      <c r="Q372"/>
    </row>
    <row r="373" spans="1:17" ht="12.75" hidden="1" customHeight="1" thickBot="1" x14ac:dyDescent="0.3">
      <c r="A373"/>
      <c r="B373" s="431"/>
      <c r="C373" s="180" t="s">
        <v>0</v>
      </c>
      <c r="D373" s="43">
        <f t="shared" ref="D373:L373" si="92">SUM(D371:D372)</f>
        <v>10150</v>
      </c>
      <c r="E373" s="43">
        <f t="shared" si="92"/>
        <v>10527</v>
      </c>
      <c r="F373" s="43">
        <f t="shared" si="92"/>
        <v>13421</v>
      </c>
      <c r="G373" s="43">
        <f t="shared" si="92"/>
        <v>13681</v>
      </c>
      <c r="H373" s="43">
        <f t="shared" si="92"/>
        <v>12377</v>
      </c>
      <c r="I373" s="43">
        <f t="shared" si="92"/>
        <v>13568</v>
      </c>
      <c r="J373" s="43">
        <f t="shared" si="92"/>
        <v>12528</v>
      </c>
      <c r="K373" s="43">
        <f t="shared" si="92"/>
        <v>8750</v>
      </c>
      <c r="L373" s="43">
        <f t="shared" si="92"/>
        <v>11750</v>
      </c>
      <c r="M373" s="43">
        <f>SUM(M371:M372)</f>
        <v>14242</v>
      </c>
      <c r="N373" s="43">
        <f>SUM(N371:N372)</f>
        <v>13948</v>
      </c>
      <c r="O373" s="43">
        <f>SUM(O371:O372)</f>
        <v>13233</v>
      </c>
      <c r="P373" s="44">
        <f>SUM(P371:P372)</f>
        <v>148175</v>
      </c>
      <c r="Q373"/>
    </row>
    <row r="374" spans="1:17" ht="12.75" hidden="1" customHeight="1" x14ac:dyDescent="0.25">
      <c r="A374"/>
      <c r="B374" s="429" t="s">
        <v>10</v>
      </c>
      <c r="C374" s="174" t="s">
        <v>13</v>
      </c>
      <c r="D374" s="39">
        <f>80+181+478</f>
        <v>739</v>
      </c>
      <c r="E374" s="40">
        <v>784</v>
      </c>
      <c r="F374" s="40">
        <v>955</v>
      </c>
      <c r="G374" s="40">
        <v>804</v>
      </c>
      <c r="H374" s="40">
        <v>744</v>
      </c>
      <c r="I374" s="40">
        <v>796</v>
      </c>
      <c r="J374" s="40">
        <v>755</v>
      </c>
      <c r="K374" s="40">
        <v>536</v>
      </c>
      <c r="L374" s="40">
        <v>610</v>
      </c>
      <c r="M374" s="40">
        <v>732</v>
      </c>
      <c r="N374" s="40">
        <v>596</v>
      </c>
      <c r="O374" s="40">
        <v>579</v>
      </c>
      <c r="P374" s="41">
        <f>SUM(D374:O374)</f>
        <v>8630</v>
      </c>
      <c r="Q374"/>
    </row>
    <row r="375" spans="1:17" ht="12.75" hidden="1" customHeight="1" x14ac:dyDescent="0.25">
      <c r="A375"/>
      <c r="B375" s="430"/>
      <c r="C375" s="181" t="s">
        <v>14</v>
      </c>
      <c r="D375" s="25">
        <f>1200+376</f>
        <v>1576</v>
      </c>
      <c r="E375" s="26">
        <v>1416</v>
      </c>
      <c r="F375" s="26">
        <v>1997</v>
      </c>
      <c r="G375" s="26">
        <v>2226</v>
      </c>
      <c r="H375" s="26">
        <v>2096</v>
      </c>
      <c r="I375" s="26">
        <v>1904</v>
      </c>
      <c r="J375" s="26">
        <v>1752</v>
      </c>
      <c r="K375" s="26">
        <v>1717</v>
      </c>
      <c r="L375" s="26">
        <v>1193</v>
      </c>
      <c r="M375" s="26">
        <v>1668</v>
      </c>
      <c r="N375" s="26">
        <v>1704</v>
      </c>
      <c r="O375" s="26">
        <v>1372</v>
      </c>
      <c r="P375" s="27">
        <f>SUM(D375:O375)</f>
        <v>20621</v>
      </c>
      <c r="Q375"/>
    </row>
    <row r="376" spans="1:17" ht="12.75" hidden="1" customHeight="1" thickBot="1" x14ac:dyDescent="0.3">
      <c r="A376"/>
      <c r="B376" s="431"/>
      <c r="C376" s="180" t="s">
        <v>0</v>
      </c>
      <c r="D376" s="43">
        <f t="shared" ref="D376:I376" si="93">SUM(D374:D375)</f>
        <v>2315</v>
      </c>
      <c r="E376" s="43">
        <f t="shared" si="93"/>
        <v>2200</v>
      </c>
      <c r="F376" s="43">
        <f t="shared" si="93"/>
        <v>2952</v>
      </c>
      <c r="G376" s="43">
        <f t="shared" si="93"/>
        <v>3030</v>
      </c>
      <c r="H376" s="43">
        <f t="shared" si="93"/>
        <v>2840</v>
      </c>
      <c r="I376" s="43">
        <f t="shared" si="93"/>
        <v>2700</v>
      </c>
      <c r="J376" s="43">
        <f t="shared" ref="J376:P376" si="94">SUM(J374:J375)</f>
        <v>2507</v>
      </c>
      <c r="K376" s="43">
        <f t="shared" si="94"/>
        <v>2253</v>
      </c>
      <c r="L376" s="43">
        <f t="shared" si="94"/>
        <v>1803</v>
      </c>
      <c r="M376" s="43">
        <f t="shared" si="94"/>
        <v>2400</v>
      </c>
      <c r="N376" s="43">
        <f t="shared" si="94"/>
        <v>2300</v>
      </c>
      <c r="O376" s="43">
        <f t="shared" si="94"/>
        <v>1951</v>
      </c>
      <c r="P376" s="44">
        <f t="shared" si="94"/>
        <v>29251</v>
      </c>
      <c r="Q376"/>
    </row>
    <row r="377" spans="1:17" ht="4.5" hidden="1" customHeight="1" x14ac:dyDescent="0.25">
      <c r="A377"/>
      <c r="B377" s="424" t="s">
        <v>4</v>
      </c>
      <c r="C377" s="183" t="s">
        <v>115</v>
      </c>
      <c r="D377" s="155">
        <v>1418</v>
      </c>
      <c r="E377" s="155">
        <v>1062</v>
      </c>
      <c r="F377" s="155">
        <v>1233</v>
      </c>
      <c r="G377" s="155">
        <v>1103</v>
      </c>
      <c r="H377" s="155">
        <v>967</v>
      </c>
      <c r="I377" s="155">
        <v>1035</v>
      </c>
      <c r="J377" s="155">
        <v>890</v>
      </c>
      <c r="K377" s="155">
        <v>1138</v>
      </c>
      <c r="L377" s="155">
        <v>1024</v>
      </c>
      <c r="M377" s="155">
        <v>1406</v>
      </c>
      <c r="N377" s="155">
        <v>1550</v>
      </c>
      <c r="O377" s="155">
        <v>1591</v>
      </c>
      <c r="P377" s="156">
        <f>SUM(D377:O377)</f>
        <v>14417</v>
      </c>
      <c r="Q377"/>
    </row>
    <row r="378" spans="1:17" hidden="1" x14ac:dyDescent="0.25">
      <c r="A378"/>
      <c r="B378" s="425"/>
      <c r="C378" s="184" t="s">
        <v>117</v>
      </c>
      <c r="D378" s="131">
        <v>4047</v>
      </c>
      <c r="E378" s="131">
        <v>3055</v>
      </c>
      <c r="F378" s="131">
        <v>3618</v>
      </c>
      <c r="G378" s="131">
        <v>3132</v>
      </c>
      <c r="H378" s="131">
        <v>2976</v>
      </c>
      <c r="I378" s="131">
        <v>3116</v>
      </c>
      <c r="J378" s="131">
        <v>2621</v>
      </c>
      <c r="K378" s="131">
        <v>2982</v>
      </c>
      <c r="L378" s="131">
        <v>2767</v>
      </c>
      <c r="M378" s="131">
        <v>3411</v>
      </c>
      <c r="N378" s="131">
        <v>2889</v>
      </c>
      <c r="O378" s="131">
        <v>2605</v>
      </c>
      <c r="P378" s="132">
        <f>SUM(D378:O378)</f>
        <v>37219</v>
      </c>
    </row>
    <row r="379" spans="1:17" ht="9.9" hidden="1" customHeight="1" x14ac:dyDescent="0.25">
      <c r="A379"/>
      <c r="B379" s="425"/>
      <c r="C379" s="176" t="s">
        <v>132</v>
      </c>
      <c r="D379" s="29">
        <v>939</v>
      </c>
      <c r="E379" s="30">
        <v>843</v>
      </c>
      <c r="F379" s="30">
        <v>992</v>
      </c>
      <c r="G379" s="30">
        <v>913</v>
      </c>
      <c r="H379" s="30">
        <v>836</v>
      </c>
      <c r="I379" s="30">
        <v>622</v>
      </c>
      <c r="J379" s="30">
        <v>501</v>
      </c>
      <c r="K379" s="30">
        <v>405</v>
      </c>
      <c r="L379" s="30">
        <v>328</v>
      </c>
      <c r="M379" s="30">
        <v>309</v>
      </c>
      <c r="N379" s="30">
        <v>882</v>
      </c>
      <c r="O379" s="30">
        <v>2139</v>
      </c>
      <c r="P379" s="31">
        <f>SUM(D379:O379)</f>
        <v>9709</v>
      </c>
    </row>
    <row r="380" spans="1:17" s="20" customFormat="1" ht="9.9" hidden="1" customHeight="1" thickBot="1" x14ac:dyDescent="0.3">
      <c r="A380"/>
      <c r="B380" s="426"/>
      <c r="C380" s="42" t="s">
        <v>0</v>
      </c>
      <c r="D380" s="43">
        <f>SUM(D377:D379)</f>
        <v>6404</v>
      </c>
      <c r="E380" s="43">
        <f t="shared" ref="E380:P380" si="95">SUM(E377:E379)</f>
        <v>4960</v>
      </c>
      <c r="F380" s="43">
        <f t="shared" si="95"/>
        <v>5843</v>
      </c>
      <c r="G380" s="43">
        <f t="shared" si="95"/>
        <v>5148</v>
      </c>
      <c r="H380" s="43">
        <f t="shared" si="95"/>
        <v>4779</v>
      </c>
      <c r="I380" s="43">
        <f t="shared" si="95"/>
        <v>4773</v>
      </c>
      <c r="J380" s="43">
        <f t="shared" si="95"/>
        <v>4012</v>
      </c>
      <c r="K380" s="43">
        <f t="shared" si="95"/>
        <v>4525</v>
      </c>
      <c r="L380" s="43">
        <f t="shared" si="95"/>
        <v>4119</v>
      </c>
      <c r="M380" s="43">
        <f t="shared" si="95"/>
        <v>5126</v>
      </c>
      <c r="N380" s="43">
        <f t="shared" si="95"/>
        <v>5321</v>
      </c>
      <c r="O380" s="43">
        <f t="shared" si="95"/>
        <v>6335</v>
      </c>
      <c r="P380" s="43">
        <f t="shared" si="95"/>
        <v>61345</v>
      </c>
    </row>
    <row r="381" spans="1:17" ht="4.5" hidden="1" customHeight="1" thickBot="1" x14ac:dyDescent="0.3">
      <c r="A381"/>
      <c r="B381" s="442" t="s">
        <v>2</v>
      </c>
      <c r="C381" s="443"/>
      <c r="D381" s="45">
        <f t="shared" ref="D381:O381" si="96">D363+D370+D376+D373+D380</f>
        <v>51426</v>
      </c>
      <c r="E381" s="45">
        <f t="shared" si="96"/>
        <v>50200</v>
      </c>
      <c r="F381" s="45">
        <f t="shared" si="96"/>
        <v>67577</v>
      </c>
      <c r="G381" s="45">
        <f t="shared" si="96"/>
        <v>63788</v>
      </c>
      <c r="H381" s="45">
        <f t="shared" si="96"/>
        <v>61896</v>
      </c>
      <c r="I381" s="45">
        <f t="shared" si="96"/>
        <v>59494</v>
      </c>
      <c r="J381" s="45">
        <f t="shared" si="96"/>
        <v>60367</v>
      </c>
      <c r="K381" s="45">
        <f t="shared" si="96"/>
        <v>58582</v>
      </c>
      <c r="L381" s="45">
        <f t="shared" si="96"/>
        <v>52494</v>
      </c>
      <c r="M381" s="45">
        <f t="shared" si="96"/>
        <v>66288</v>
      </c>
      <c r="N381" s="45">
        <f t="shared" si="96"/>
        <v>64131</v>
      </c>
      <c r="O381" s="45">
        <f t="shared" si="96"/>
        <v>64835</v>
      </c>
      <c r="P381" s="45">
        <f>SUM(P363,P370,P380,P373,P376)</f>
        <v>721078</v>
      </c>
      <c r="Q381"/>
    </row>
    <row r="382" spans="1:17" hidden="1" x14ac:dyDescent="0.25">
      <c r="A382"/>
      <c r="J382" s="115"/>
    </row>
    <row r="383" spans="1:17" ht="9.9" hidden="1" customHeight="1" x14ac:dyDescent="0.25">
      <c r="A383"/>
      <c r="B383" s="81" t="s">
        <v>68</v>
      </c>
      <c r="C383" s="82"/>
      <c r="D383" s="83">
        <f t="shared" ref="D383:P383" si="97">SUM(D384:D385)</f>
        <v>1298</v>
      </c>
      <c r="E383" s="83">
        <f t="shared" si="97"/>
        <v>1282</v>
      </c>
      <c r="F383" s="83">
        <f t="shared" si="97"/>
        <v>1097</v>
      </c>
      <c r="G383" s="83">
        <f t="shared" si="97"/>
        <v>852</v>
      </c>
      <c r="H383" s="83">
        <f t="shared" si="97"/>
        <v>814</v>
      </c>
      <c r="I383" s="83">
        <f t="shared" si="97"/>
        <v>746</v>
      </c>
      <c r="J383" s="83">
        <f t="shared" si="97"/>
        <v>417</v>
      </c>
      <c r="K383" s="83">
        <f t="shared" si="97"/>
        <v>488</v>
      </c>
      <c r="L383" s="83">
        <f t="shared" si="97"/>
        <v>360</v>
      </c>
      <c r="M383" s="83">
        <f t="shared" si="97"/>
        <v>541</v>
      </c>
      <c r="N383" s="83">
        <f t="shared" si="97"/>
        <v>687</v>
      </c>
      <c r="O383" s="83">
        <f t="shared" si="97"/>
        <v>844</v>
      </c>
      <c r="P383" s="84">
        <f t="shared" si="97"/>
        <v>9426</v>
      </c>
    </row>
    <row r="384" spans="1:17" ht="9.9" hidden="1" customHeight="1" x14ac:dyDescent="0.25">
      <c r="A384"/>
      <c r="B384" s="85"/>
      <c r="C384" s="86" t="s">
        <v>143</v>
      </c>
      <c r="D384" s="99">
        <v>1086</v>
      </c>
      <c r="E384" s="99">
        <v>949</v>
      </c>
      <c r="F384" s="87">
        <v>886</v>
      </c>
      <c r="G384" s="100">
        <v>485</v>
      </c>
      <c r="H384" s="87">
        <v>548</v>
      </c>
      <c r="I384" s="97">
        <v>534</v>
      </c>
      <c r="J384" s="97">
        <v>252</v>
      </c>
      <c r="K384" s="87">
        <v>113</v>
      </c>
      <c r="L384" s="87">
        <v>102</v>
      </c>
      <c r="M384" s="87">
        <v>183</v>
      </c>
      <c r="N384" s="87">
        <v>187</v>
      </c>
      <c r="O384" s="87">
        <v>281</v>
      </c>
      <c r="P384" s="199">
        <f>SUM(D384:O384)</f>
        <v>5606</v>
      </c>
    </row>
    <row r="385" spans="1:17" s="20" customFormat="1" ht="9.9" hidden="1" customHeight="1" x14ac:dyDescent="0.25">
      <c r="B385" s="89"/>
      <c r="C385" s="86" t="s">
        <v>142</v>
      </c>
      <c r="D385" s="99">
        <v>212</v>
      </c>
      <c r="E385" s="99">
        <v>333</v>
      </c>
      <c r="F385" s="87">
        <v>211</v>
      </c>
      <c r="G385" s="100">
        <v>367</v>
      </c>
      <c r="H385" s="87">
        <v>266</v>
      </c>
      <c r="I385" s="97">
        <v>212</v>
      </c>
      <c r="J385" s="200">
        <v>165</v>
      </c>
      <c r="K385" s="201">
        <v>375</v>
      </c>
      <c r="L385" s="201">
        <v>258</v>
      </c>
      <c r="M385" s="201">
        <v>358</v>
      </c>
      <c r="N385" s="201">
        <v>500</v>
      </c>
      <c r="O385" s="201">
        <v>563</v>
      </c>
      <c r="P385" s="199">
        <f>SUM(D385:O385)</f>
        <v>3820</v>
      </c>
    </row>
    <row r="386" spans="1:17" ht="4.5" hidden="1" customHeight="1" x14ac:dyDescent="0.25">
      <c r="A386"/>
      <c r="J386" s="115"/>
      <c r="Q386"/>
    </row>
    <row r="387" spans="1:17" hidden="1" x14ac:dyDescent="0.25">
      <c r="A387"/>
      <c r="B387" s="92" t="s">
        <v>25</v>
      </c>
      <c r="C387" s="93"/>
      <c r="D387" s="83">
        <f t="shared" ref="D387:P387" si="98">SUM(D388:D390)</f>
        <v>5520</v>
      </c>
      <c r="E387" s="83">
        <f t="shared" si="98"/>
        <v>5079</v>
      </c>
      <c r="F387" s="83">
        <f t="shared" si="98"/>
        <v>5685</v>
      </c>
      <c r="G387" s="83">
        <f t="shared" si="98"/>
        <v>5699</v>
      </c>
      <c r="H387" s="83">
        <f t="shared" si="98"/>
        <v>5542</v>
      </c>
      <c r="I387" s="83">
        <f t="shared" si="98"/>
        <v>5245</v>
      </c>
      <c r="J387" s="83">
        <f t="shared" si="98"/>
        <v>5948</v>
      </c>
      <c r="K387" s="83">
        <f t="shared" si="98"/>
        <v>5881</v>
      </c>
      <c r="L387" s="83">
        <f t="shared" si="98"/>
        <v>4396</v>
      </c>
      <c r="M387" s="83">
        <f t="shared" si="98"/>
        <v>6326</v>
      </c>
      <c r="N387" s="83">
        <f t="shared" si="98"/>
        <v>5335</v>
      </c>
      <c r="O387" s="83">
        <f t="shared" si="98"/>
        <v>5190</v>
      </c>
      <c r="P387" s="83">
        <f t="shared" si="98"/>
        <v>65846</v>
      </c>
    </row>
    <row r="388" spans="1:17" ht="9.75" hidden="1" customHeight="1" x14ac:dyDescent="0.25">
      <c r="A388"/>
      <c r="B388" s="85"/>
      <c r="C388" s="86" t="s">
        <v>26</v>
      </c>
      <c r="D388" s="87">
        <v>0</v>
      </c>
      <c r="E388" s="87">
        <v>0</v>
      </c>
      <c r="F388" s="87">
        <v>0</v>
      </c>
      <c r="G388" s="87">
        <v>0</v>
      </c>
      <c r="H388" s="87">
        <v>0</v>
      </c>
      <c r="I388" s="87"/>
      <c r="J388" s="87"/>
      <c r="K388" s="87"/>
      <c r="L388" s="87"/>
      <c r="M388" s="87"/>
      <c r="N388" s="87"/>
      <c r="O388" s="87"/>
      <c r="P388" s="88">
        <f>SUM(D388:O388)</f>
        <v>0</v>
      </c>
    </row>
    <row r="389" spans="1:17" ht="9.75" hidden="1" customHeight="1" x14ac:dyDescent="0.25">
      <c r="B389" s="85"/>
      <c r="C389" s="86" t="s">
        <v>52</v>
      </c>
      <c r="D389" s="122">
        <v>5230</v>
      </c>
      <c r="E389" s="122">
        <v>4781</v>
      </c>
      <c r="F389" s="122">
        <v>5377</v>
      </c>
      <c r="G389" s="87">
        <v>5365</v>
      </c>
      <c r="H389" s="87">
        <v>5191</v>
      </c>
      <c r="I389" s="87">
        <v>4941</v>
      </c>
      <c r="J389" s="87">
        <v>5610</v>
      </c>
      <c r="K389" s="87">
        <v>5541</v>
      </c>
      <c r="L389" s="87">
        <v>4147</v>
      </c>
      <c r="M389" s="87">
        <v>5993</v>
      </c>
      <c r="N389" s="87">
        <v>4909</v>
      </c>
      <c r="O389" s="87">
        <v>4639</v>
      </c>
      <c r="P389" s="199">
        <f>SUM(D389:O389)</f>
        <v>61724</v>
      </c>
    </row>
    <row r="390" spans="1:17" ht="4.5" hidden="1" customHeight="1" x14ac:dyDescent="0.25">
      <c r="B390" s="89"/>
      <c r="C390" s="128" t="s">
        <v>141</v>
      </c>
      <c r="D390" s="122">
        <v>290</v>
      </c>
      <c r="E390" s="122">
        <v>298</v>
      </c>
      <c r="F390" s="122">
        <v>308</v>
      </c>
      <c r="G390" s="122">
        <v>334</v>
      </c>
      <c r="H390" s="122">
        <v>351</v>
      </c>
      <c r="I390" s="122">
        <v>304</v>
      </c>
      <c r="J390" s="122">
        <v>338</v>
      </c>
      <c r="K390" s="122">
        <v>340</v>
      </c>
      <c r="L390" s="122">
        <v>249</v>
      </c>
      <c r="M390" s="122">
        <v>333</v>
      </c>
      <c r="N390" s="122">
        <v>426</v>
      </c>
      <c r="O390" s="201">
        <v>551</v>
      </c>
      <c r="P390" s="199">
        <f>SUM(D390:O390)</f>
        <v>4122</v>
      </c>
      <c r="Q390"/>
    </row>
    <row r="391" spans="1:17" ht="9.9" hidden="1" customHeight="1" x14ac:dyDescent="0.25">
      <c r="J391" s="115"/>
    </row>
    <row r="392" spans="1:17" ht="9.9" hidden="1" customHeight="1" x14ac:dyDescent="0.25">
      <c r="B392" s="81" t="s">
        <v>27</v>
      </c>
      <c r="C392" s="82"/>
      <c r="D392" s="83">
        <f t="shared" ref="D392:P392" si="99">SUM(D393:D394)</f>
        <v>9601</v>
      </c>
      <c r="E392" s="83">
        <f t="shared" si="99"/>
        <v>8984</v>
      </c>
      <c r="F392" s="83">
        <f t="shared" si="99"/>
        <v>10598</v>
      </c>
      <c r="G392" s="83">
        <f t="shared" si="99"/>
        <v>9904</v>
      </c>
      <c r="H392" s="83">
        <f t="shared" si="99"/>
        <v>10436</v>
      </c>
      <c r="I392" s="83">
        <f t="shared" si="99"/>
        <v>8945</v>
      </c>
      <c r="J392" s="83">
        <f t="shared" si="99"/>
        <v>8571</v>
      </c>
      <c r="K392" s="83">
        <f t="shared" si="99"/>
        <v>8905</v>
      </c>
      <c r="L392" s="83">
        <f t="shared" si="99"/>
        <v>7510</v>
      </c>
      <c r="M392" s="83">
        <f t="shared" si="99"/>
        <v>9037</v>
      </c>
      <c r="N392" s="83">
        <f t="shared" si="99"/>
        <v>10191</v>
      </c>
      <c r="O392" s="83">
        <f t="shared" si="99"/>
        <v>10419</v>
      </c>
      <c r="P392" s="83">
        <f t="shared" si="99"/>
        <v>113101</v>
      </c>
    </row>
    <row r="393" spans="1:17" ht="9.9" hidden="1" customHeight="1" x14ac:dyDescent="0.25">
      <c r="B393" s="85"/>
      <c r="C393" s="147" t="s">
        <v>79</v>
      </c>
      <c r="D393" s="148">
        <v>7662</v>
      </c>
      <c r="E393" s="148">
        <v>7359</v>
      </c>
      <c r="F393" s="149">
        <v>8653</v>
      </c>
      <c r="G393" s="150">
        <v>8176</v>
      </c>
      <c r="H393" s="149">
        <v>7915</v>
      </c>
      <c r="I393" s="151">
        <v>6674</v>
      </c>
      <c r="J393" s="151">
        <v>6567</v>
      </c>
      <c r="K393" s="149">
        <v>7600</v>
      </c>
      <c r="L393" s="149">
        <v>5564</v>
      </c>
      <c r="M393" s="149">
        <v>6737</v>
      </c>
      <c r="N393" s="149">
        <v>7614</v>
      </c>
      <c r="O393" s="149">
        <v>8012</v>
      </c>
      <c r="P393" s="152">
        <f>SUM(D393:O393)</f>
        <v>88533</v>
      </c>
    </row>
    <row r="394" spans="1:17" s="196" customFormat="1" ht="6" hidden="1" customHeight="1" x14ac:dyDescent="0.25">
      <c r="A394" s="20"/>
      <c r="B394" s="89"/>
      <c r="C394" s="86" t="s">
        <v>142</v>
      </c>
      <c r="D394" s="99">
        <v>1939</v>
      </c>
      <c r="E394" s="99">
        <v>1625</v>
      </c>
      <c r="F394" s="87">
        <v>1945</v>
      </c>
      <c r="G394" s="100">
        <v>1728</v>
      </c>
      <c r="H394" s="87">
        <v>2521</v>
      </c>
      <c r="I394" s="97">
        <v>2271</v>
      </c>
      <c r="J394" s="200">
        <v>2004</v>
      </c>
      <c r="K394" s="201">
        <v>1305</v>
      </c>
      <c r="L394" s="201">
        <v>1946</v>
      </c>
      <c r="M394" s="201">
        <v>2300</v>
      </c>
      <c r="N394" s="201">
        <v>2577</v>
      </c>
      <c r="O394" s="201">
        <v>2407</v>
      </c>
      <c r="P394" s="199">
        <f>SUM(D394:O394)</f>
        <v>24568</v>
      </c>
      <c r="Q394" s="195"/>
    </row>
    <row r="395" spans="1:17" hidden="1" x14ac:dyDescent="0.25">
      <c r="J395" s="115"/>
    </row>
    <row r="396" spans="1:17" ht="9.9" hidden="1" customHeight="1" x14ac:dyDescent="0.25">
      <c r="B396" s="81" t="s">
        <v>127</v>
      </c>
      <c r="C396" s="82"/>
      <c r="D396" s="83">
        <f t="shared" ref="D396:P396" si="100">SUM(D397:D398)</f>
        <v>3507</v>
      </c>
      <c r="E396" s="83">
        <f t="shared" si="100"/>
        <v>3366</v>
      </c>
      <c r="F396" s="83">
        <f t="shared" si="100"/>
        <v>4098</v>
      </c>
      <c r="G396" s="83">
        <f t="shared" si="100"/>
        <v>3490</v>
      </c>
      <c r="H396" s="83">
        <f t="shared" si="100"/>
        <v>3741</v>
      </c>
      <c r="I396" s="83">
        <f t="shared" si="100"/>
        <v>4014</v>
      </c>
      <c r="J396" s="83">
        <f t="shared" si="100"/>
        <v>4917</v>
      </c>
      <c r="K396" s="83">
        <f t="shared" si="100"/>
        <v>3994</v>
      </c>
      <c r="L396" s="83">
        <f t="shared" si="100"/>
        <v>3816</v>
      </c>
      <c r="M396" s="83">
        <f t="shared" si="100"/>
        <v>5375</v>
      </c>
      <c r="N396" s="83">
        <f t="shared" si="100"/>
        <v>5558</v>
      </c>
      <c r="O396" s="83">
        <f t="shared" si="100"/>
        <v>4592</v>
      </c>
      <c r="P396" s="84">
        <f t="shared" si="100"/>
        <v>50468</v>
      </c>
    </row>
    <row r="397" spans="1:17" ht="9.9" hidden="1" customHeight="1" x14ac:dyDescent="0.25">
      <c r="B397" s="85"/>
      <c r="C397" s="86" t="s">
        <v>128</v>
      </c>
      <c r="D397" s="99">
        <v>3507</v>
      </c>
      <c r="E397" s="99">
        <v>3366</v>
      </c>
      <c r="F397" s="87">
        <v>4098</v>
      </c>
      <c r="G397" s="100">
        <v>3490</v>
      </c>
      <c r="H397" s="87">
        <v>3437</v>
      </c>
      <c r="I397" s="97">
        <v>2938</v>
      </c>
      <c r="J397" s="200">
        <v>3600</v>
      </c>
      <c r="K397" s="201">
        <v>3346</v>
      </c>
      <c r="L397" s="201">
        <v>2434</v>
      </c>
      <c r="M397" s="201">
        <v>2902</v>
      </c>
      <c r="N397" s="201">
        <v>2652</v>
      </c>
      <c r="O397" s="201">
        <v>3505</v>
      </c>
      <c r="P397" s="199">
        <f>SUM(D397:O397)</f>
        <v>39275</v>
      </c>
    </row>
    <row r="398" spans="1:17" ht="6" hidden="1" customHeight="1" x14ac:dyDescent="0.25">
      <c r="B398" s="85"/>
      <c r="C398" s="86" t="s">
        <v>74</v>
      </c>
      <c r="D398" s="99">
        <v>0</v>
      </c>
      <c r="E398" s="99">
        <v>0</v>
      </c>
      <c r="F398" s="87">
        <v>0</v>
      </c>
      <c r="G398" s="100">
        <v>0</v>
      </c>
      <c r="H398" s="87">
        <v>304</v>
      </c>
      <c r="I398" s="97">
        <v>1076</v>
      </c>
      <c r="J398" s="97">
        <v>1317</v>
      </c>
      <c r="K398" s="87">
        <v>648</v>
      </c>
      <c r="L398" s="87">
        <v>1382</v>
      </c>
      <c r="M398" s="87">
        <v>2473</v>
      </c>
      <c r="N398" s="87">
        <v>2906</v>
      </c>
      <c r="O398" s="87">
        <v>1087</v>
      </c>
      <c r="P398" s="199">
        <f>SUM(D398:O398)</f>
        <v>11193</v>
      </c>
    </row>
    <row r="399" spans="1:17" hidden="1" x14ac:dyDescent="0.25">
      <c r="A399" s="190"/>
      <c r="B399" s="191"/>
      <c r="C399" s="191"/>
      <c r="D399" s="192"/>
      <c r="E399" s="192"/>
      <c r="F399" s="192"/>
      <c r="G399" s="192"/>
      <c r="H399" s="192"/>
      <c r="I399" s="192"/>
      <c r="J399" s="193"/>
      <c r="K399" s="193"/>
      <c r="L399" s="193"/>
      <c r="M399" s="193"/>
      <c r="N399" s="193"/>
      <c r="O399" s="193"/>
      <c r="P399" s="194"/>
    </row>
    <row r="400" spans="1:17" ht="9.9" hidden="1" customHeight="1" x14ac:dyDescent="0.25">
      <c r="B400" s="81" t="s">
        <v>121</v>
      </c>
      <c r="C400" s="82"/>
      <c r="D400" s="83">
        <f t="shared" ref="D400:P400" si="101">SUM(D401:D402)</f>
        <v>2957</v>
      </c>
      <c r="E400" s="83">
        <f t="shared" si="101"/>
        <v>4141</v>
      </c>
      <c r="F400" s="83">
        <f t="shared" si="101"/>
        <v>13076</v>
      </c>
      <c r="G400" s="83">
        <f t="shared" si="101"/>
        <v>11837</v>
      </c>
      <c r="H400" s="83">
        <f t="shared" si="101"/>
        <v>10668</v>
      </c>
      <c r="I400" s="83">
        <f t="shared" si="101"/>
        <v>9074</v>
      </c>
      <c r="J400" s="83">
        <f t="shared" si="101"/>
        <v>9893</v>
      </c>
      <c r="K400" s="83">
        <f t="shared" si="101"/>
        <v>9805</v>
      </c>
      <c r="L400" s="83">
        <f t="shared" si="101"/>
        <v>8326</v>
      </c>
      <c r="M400" s="83">
        <f t="shared" si="101"/>
        <v>9781</v>
      </c>
      <c r="N400" s="83">
        <f t="shared" si="101"/>
        <v>9001</v>
      </c>
      <c r="O400" s="83">
        <f t="shared" si="101"/>
        <v>8643</v>
      </c>
      <c r="P400" s="84">
        <f t="shared" si="101"/>
        <v>107202</v>
      </c>
    </row>
    <row r="401" spans="1:17" ht="9.9" hidden="1" customHeight="1" x14ac:dyDescent="0.25">
      <c r="B401" s="85"/>
      <c r="C401" s="86" t="s">
        <v>122</v>
      </c>
      <c r="D401" s="99">
        <v>2957</v>
      </c>
      <c r="E401" s="99">
        <v>2494</v>
      </c>
      <c r="F401" s="87">
        <v>1457</v>
      </c>
      <c r="G401" s="100">
        <v>841</v>
      </c>
      <c r="H401" s="87">
        <v>296</v>
      </c>
      <c r="I401" s="97">
        <v>10</v>
      </c>
      <c r="J401" s="97">
        <v>2</v>
      </c>
      <c r="K401" s="87">
        <v>2</v>
      </c>
      <c r="L401" s="87">
        <v>0</v>
      </c>
      <c r="M401" s="87">
        <v>0</v>
      </c>
      <c r="N401" s="87">
        <v>0</v>
      </c>
      <c r="O401" s="87">
        <v>0</v>
      </c>
      <c r="P401" s="199">
        <f>SUM(D401:O401)</f>
        <v>8059</v>
      </c>
    </row>
    <row r="402" spans="1:17" s="16" customFormat="1" ht="6.75" hidden="1" customHeight="1" x14ac:dyDescent="0.25">
      <c r="A402" s="20"/>
      <c r="B402" s="89"/>
      <c r="C402" s="86" t="s">
        <v>123</v>
      </c>
      <c r="D402" s="99">
        <v>0</v>
      </c>
      <c r="E402" s="99">
        <v>1647</v>
      </c>
      <c r="F402" s="87">
        <v>11619</v>
      </c>
      <c r="G402" s="100">
        <v>10996</v>
      </c>
      <c r="H402" s="87">
        <v>10372</v>
      </c>
      <c r="I402" s="97">
        <v>9064</v>
      </c>
      <c r="J402" s="200">
        <v>9891</v>
      </c>
      <c r="K402" s="201">
        <v>9803</v>
      </c>
      <c r="L402" s="201">
        <v>8326</v>
      </c>
      <c r="M402" s="201">
        <v>9781</v>
      </c>
      <c r="N402" s="201">
        <v>9001</v>
      </c>
      <c r="O402" s="201">
        <v>8643</v>
      </c>
      <c r="P402" s="199">
        <f>SUM(D402:O402)</f>
        <v>99143</v>
      </c>
      <c r="Q402" s="112"/>
    </row>
    <row r="403" spans="1:17" hidden="1" x14ac:dyDescent="0.25">
      <c r="B403" s="101"/>
      <c r="C403" s="94"/>
      <c r="D403" s="198"/>
      <c r="E403" s="198"/>
      <c r="F403" s="198"/>
      <c r="G403" s="198"/>
      <c r="H403" s="198"/>
      <c r="I403" s="198"/>
      <c r="J403" s="95"/>
      <c r="K403" s="95"/>
      <c r="L403" s="95"/>
      <c r="M403" s="95"/>
      <c r="N403" s="95"/>
      <c r="O403" s="95"/>
      <c r="P403" s="96"/>
    </row>
    <row r="404" spans="1:17" ht="12.75" hidden="1" customHeight="1" x14ac:dyDescent="0.25">
      <c r="B404" s="81" t="s">
        <v>129</v>
      </c>
      <c r="C404" s="82"/>
      <c r="D404" s="83">
        <f t="shared" ref="D404:P404" si="102">SUM(D405:D406)</f>
        <v>939</v>
      </c>
      <c r="E404" s="83">
        <f t="shared" si="102"/>
        <v>843</v>
      </c>
      <c r="F404" s="83">
        <f t="shared" si="102"/>
        <v>992</v>
      </c>
      <c r="G404" s="83">
        <f t="shared" si="102"/>
        <v>913</v>
      </c>
      <c r="H404" s="83">
        <f t="shared" si="102"/>
        <v>836</v>
      </c>
      <c r="I404" s="83">
        <f t="shared" si="102"/>
        <v>622</v>
      </c>
      <c r="J404" s="83">
        <f t="shared" si="102"/>
        <v>501</v>
      </c>
      <c r="K404" s="83">
        <f t="shared" si="102"/>
        <v>405</v>
      </c>
      <c r="L404" s="83">
        <f t="shared" si="102"/>
        <v>328</v>
      </c>
      <c r="M404" s="83">
        <f t="shared" si="102"/>
        <v>309</v>
      </c>
      <c r="N404" s="83">
        <f t="shared" si="102"/>
        <v>882</v>
      </c>
      <c r="O404" s="83">
        <f t="shared" si="102"/>
        <v>2139</v>
      </c>
      <c r="P404" s="84">
        <f t="shared" si="102"/>
        <v>9709</v>
      </c>
    </row>
    <row r="405" spans="1:17" ht="12.75" hidden="1" customHeight="1" x14ac:dyDescent="0.25">
      <c r="A405"/>
      <c r="B405" s="85"/>
      <c r="C405" s="86" t="s">
        <v>130</v>
      </c>
      <c r="D405" s="99">
        <v>939</v>
      </c>
      <c r="E405" s="99">
        <v>843</v>
      </c>
      <c r="F405" s="87">
        <v>992</v>
      </c>
      <c r="G405" s="100">
        <v>913</v>
      </c>
      <c r="H405" s="87">
        <v>836</v>
      </c>
      <c r="I405" s="97">
        <v>622</v>
      </c>
      <c r="J405" s="97">
        <v>501</v>
      </c>
      <c r="K405" s="87">
        <v>405</v>
      </c>
      <c r="L405" s="87">
        <v>328</v>
      </c>
      <c r="M405" s="87">
        <v>309</v>
      </c>
      <c r="N405" s="87">
        <v>333</v>
      </c>
      <c r="O405" s="87">
        <v>230</v>
      </c>
      <c r="P405" s="199">
        <f>SUM(D405:O405)</f>
        <v>7251</v>
      </c>
      <c r="Q405"/>
    </row>
    <row r="406" spans="1:17" ht="12.75" hidden="1" customHeight="1" x14ac:dyDescent="0.25">
      <c r="A406"/>
      <c r="B406" s="89"/>
      <c r="C406" s="86" t="s">
        <v>131</v>
      </c>
      <c r="D406" s="99">
        <v>0</v>
      </c>
      <c r="E406" s="99">
        <v>0</v>
      </c>
      <c r="F406" s="99">
        <v>0</v>
      </c>
      <c r="G406" s="99">
        <v>0</v>
      </c>
      <c r="H406" s="99">
        <v>0</v>
      </c>
      <c r="I406" s="99">
        <v>0</v>
      </c>
      <c r="J406" s="99">
        <v>0</v>
      </c>
      <c r="K406" s="99">
        <v>0</v>
      </c>
      <c r="L406" s="99">
        <v>0</v>
      </c>
      <c r="M406" s="99">
        <v>0</v>
      </c>
      <c r="N406" s="201">
        <v>549</v>
      </c>
      <c r="O406" s="201">
        <v>1909</v>
      </c>
      <c r="P406" s="199">
        <f>SUM(D406:O406)</f>
        <v>2458</v>
      </c>
      <c r="Q406"/>
    </row>
    <row r="407" spans="1:17" ht="12.75" hidden="1" customHeight="1" x14ac:dyDescent="0.25">
      <c r="A407" s="16"/>
      <c r="B407" s="16"/>
      <c r="C407" s="16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6"/>
      <c r="Q407"/>
    </row>
    <row r="408" spans="1:17" ht="12.75" hidden="1" customHeight="1" thickBot="1" x14ac:dyDescent="0.3">
      <c r="A408"/>
      <c r="B408" s="18" t="s">
        <v>83</v>
      </c>
      <c r="C408" s="18"/>
      <c r="Q408"/>
    </row>
    <row r="409" spans="1:17" ht="12.75" hidden="1" customHeight="1" thickBot="1" x14ac:dyDescent="0.3">
      <c r="A409"/>
      <c r="B409" s="435" t="s">
        <v>1</v>
      </c>
      <c r="C409" s="436"/>
      <c r="D409" s="21">
        <v>1</v>
      </c>
      <c r="E409" s="22">
        <v>2</v>
      </c>
      <c r="F409" s="22">
        <v>3</v>
      </c>
      <c r="G409" s="22">
        <v>4</v>
      </c>
      <c r="H409" s="22">
        <v>5</v>
      </c>
      <c r="I409" s="22">
        <v>6</v>
      </c>
      <c r="J409" s="22">
        <v>7</v>
      </c>
      <c r="K409" s="22">
        <v>8</v>
      </c>
      <c r="L409" s="22">
        <v>9</v>
      </c>
      <c r="M409" s="22">
        <v>10</v>
      </c>
      <c r="N409" s="22">
        <v>11</v>
      </c>
      <c r="O409" s="22">
        <v>12</v>
      </c>
      <c r="P409" s="23" t="s">
        <v>0</v>
      </c>
      <c r="Q409"/>
    </row>
    <row r="410" spans="1:17" ht="12.75" hidden="1" customHeight="1" x14ac:dyDescent="0.25">
      <c r="A410"/>
      <c r="B410" s="437" t="s">
        <v>45</v>
      </c>
      <c r="C410" s="174" t="s">
        <v>21</v>
      </c>
      <c r="D410" s="39">
        <v>388</v>
      </c>
      <c r="E410" s="40">
        <v>255</v>
      </c>
      <c r="F410" s="39">
        <v>688</v>
      </c>
      <c r="G410" s="40">
        <v>548</v>
      </c>
      <c r="H410" s="40">
        <v>470</v>
      </c>
      <c r="I410" s="40">
        <v>657</v>
      </c>
      <c r="J410" s="40">
        <v>963</v>
      </c>
      <c r="K410" s="40">
        <v>740</v>
      </c>
      <c r="L410" s="40">
        <v>579</v>
      </c>
      <c r="M410" s="40">
        <v>544</v>
      </c>
      <c r="N410" s="40">
        <v>685</v>
      </c>
      <c r="O410" s="40">
        <v>979</v>
      </c>
      <c r="P410" s="41">
        <f t="shared" ref="P410:P418" si="103">SUM(D410:O410)</f>
        <v>7496</v>
      </c>
      <c r="Q410"/>
    </row>
    <row r="411" spans="1:17" ht="12.75" hidden="1" customHeight="1" x14ac:dyDescent="0.25">
      <c r="A411"/>
      <c r="B411" s="438"/>
      <c r="C411" s="175" t="s">
        <v>22</v>
      </c>
      <c r="D411" s="75">
        <v>5</v>
      </c>
      <c r="E411" s="76">
        <v>2</v>
      </c>
      <c r="F411" s="75">
        <v>20</v>
      </c>
      <c r="G411" s="76">
        <v>15</v>
      </c>
      <c r="H411" s="76">
        <v>19</v>
      </c>
      <c r="I411" s="76">
        <v>14</v>
      </c>
      <c r="J411" s="76">
        <v>12</v>
      </c>
      <c r="K411" s="76">
        <v>12</v>
      </c>
      <c r="L411" s="78">
        <v>15</v>
      </c>
      <c r="M411" s="76">
        <v>21</v>
      </c>
      <c r="N411" s="76">
        <v>41</v>
      </c>
      <c r="O411" s="76">
        <v>30</v>
      </c>
      <c r="P411" s="77">
        <f t="shared" si="103"/>
        <v>206</v>
      </c>
      <c r="Q411"/>
    </row>
    <row r="412" spans="1:17" ht="12.75" hidden="1" customHeight="1" x14ac:dyDescent="0.25">
      <c r="A412"/>
      <c r="B412" s="438"/>
      <c r="C412" s="175" t="s">
        <v>24</v>
      </c>
      <c r="D412" s="75">
        <v>5064</v>
      </c>
      <c r="E412" s="75">
        <v>7353</v>
      </c>
      <c r="F412" s="75">
        <v>7000</v>
      </c>
      <c r="G412" s="75">
        <v>8265</v>
      </c>
      <c r="H412" s="75">
        <v>7834</v>
      </c>
      <c r="I412" s="75">
        <v>6488</v>
      </c>
      <c r="J412" s="75">
        <v>7109</v>
      </c>
      <c r="K412" s="75">
        <v>7449</v>
      </c>
      <c r="L412" s="75">
        <v>7078</v>
      </c>
      <c r="M412" s="75">
        <v>6190</v>
      </c>
      <c r="N412" s="75">
        <v>7183</v>
      </c>
      <c r="O412" s="75">
        <v>6848</v>
      </c>
      <c r="P412" s="31">
        <f t="shared" si="103"/>
        <v>83861</v>
      </c>
      <c r="Q412"/>
    </row>
    <row r="413" spans="1:17" ht="12.75" hidden="1" customHeight="1" x14ac:dyDescent="0.25">
      <c r="A413"/>
      <c r="B413" s="438"/>
      <c r="C413" s="175" t="s">
        <v>68</v>
      </c>
      <c r="D413" s="75">
        <v>525</v>
      </c>
      <c r="E413" s="75">
        <v>545</v>
      </c>
      <c r="F413" s="75">
        <v>1116</v>
      </c>
      <c r="G413" s="75">
        <v>1055</v>
      </c>
      <c r="H413" s="75">
        <v>1009</v>
      </c>
      <c r="I413" s="75">
        <v>955</v>
      </c>
      <c r="J413" s="75">
        <v>1216</v>
      </c>
      <c r="K413" s="75">
        <v>1192</v>
      </c>
      <c r="L413" s="75">
        <v>1250</v>
      </c>
      <c r="M413" s="75">
        <v>989</v>
      </c>
      <c r="N413" s="75">
        <v>1385</v>
      </c>
      <c r="O413" s="75">
        <v>1162</v>
      </c>
      <c r="P413" s="27">
        <f t="shared" si="103"/>
        <v>12399</v>
      </c>
      <c r="Q413"/>
    </row>
    <row r="414" spans="1:17" ht="12.75" hidden="1" customHeight="1" x14ac:dyDescent="0.25">
      <c r="A414"/>
      <c r="B414" s="438"/>
      <c r="C414" s="176" t="s">
        <v>3</v>
      </c>
      <c r="D414" s="29">
        <v>84</v>
      </c>
      <c r="E414" s="30">
        <v>410</v>
      </c>
      <c r="F414" s="29">
        <v>620</v>
      </c>
      <c r="G414" s="30">
        <v>366</v>
      </c>
      <c r="H414" s="30">
        <v>361</v>
      </c>
      <c r="I414" s="30">
        <v>381</v>
      </c>
      <c r="J414" s="30">
        <v>520</v>
      </c>
      <c r="K414" s="30">
        <v>435</v>
      </c>
      <c r="L414" s="32">
        <v>429</v>
      </c>
      <c r="M414" s="30">
        <v>311</v>
      </c>
      <c r="N414" s="30">
        <v>430</v>
      </c>
      <c r="O414" s="30">
        <v>283</v>
      </c>
      <c r="P414" s="77">
        <f t="shared" si="103"/>
        <v>4630</v>
      </c>
      <c r="Q414"/>
    </row>
    <row r="415" spans="1:17" ht="12.75" hidden="1" customHeight="1" x14ac:dyDescent="0.25">
      <c r="A415"/>
      <c r="B415" s="438"/>
      <c r="C415" s="177" t="s">
        <v>25</v>
      </c>
      <c r="D415" s="73">
        <v>3997</v>
      </c>
      <c r="E415" s="73">
        <v>4440</v>
      </c>
      <c r="F415" s="73">
        <f>7240+338</f>
        <v>7578</v>
      </c>
      <c r="G415" s="73">
        <v>9127</v>
      </c>
      <c r="H415" s="73">
        <v>7597</v>
      </c>
      <c r="I415" s="73">
        <v>9298</v>
      </c>
      <c r="J415" s="73">
        <v>6685</v>
      </c>
      <c r="K415" s="73">
        <v>6424</v>
      </c>
      <c r="L415" s="73">
        <v>6424</v>
      </c>
      <c r="M415" s="73">
        <v>7355</v>
      </c>
      <c r="N415" s="73">
        <v>7459</v>
      </c>
      <c r="O415" s="73">
        <v>6319</v>
      </c>
      <c r="P415" s="77">
        <f t="shared" si="103"/>
        <v>82703</v>
      </c>
      <c r="Q415"/>
    </row>
    <row r="416" spans="1:17" ht="12.75" hidden="1" customHeight="1" x14ac:dyDescent="0.25">
      <c r="A416"/>
      <c r="B416" s="438"/>
      <c r="C416" s="177" t="s">
        <v>43</v>
      </c>
      <c r="D416" s="73">
        <v>8</v>
      </c>
      <c r="E416" s="73">
        <v>7</v>
      </c>
      <c r="F416" s="73">
        <v>12</v>
      </c>
      <c r="G416" s="73">
        <v>8</v>
      </c>
      <c r="H416" s="73">
        <v>53</v>
      </c>
      <c r="I416" s="73">
        <v>59</v>
      </c>
      <c r="J416" s="73">
        <v>35</v>
      </c>
      <c r="K416" s="73">
        <v>25</v>
      </c>
      <c r="L416" s="73">
        <v>26</v>
      </c>
      <c r="M416" s="73">
        <v>44</v>
      </c>
      <c r="N416" s="73">
        <v>21</v>
      </c>
      <c r="O416" s="73">
        <v>29</v>
      </c>
      <c r="P416" s="77">
        <f t="shared" si="103"/>
        <v>327</v>
      </c>
      <c r="Q416"/>
    </row>
    <row r="417" spans="1:17" ht="12.75" hidden="1" customHeight="1" x14ac:dyDescent="0.25">
      <c r="A417"/>
      <c r="B417" s="438"/>
      <c r="C417" s="178" t="s">
        <v>27</v>
      </c>
      <c r="D417" s="71">
        <v>10586</v>
      </c>
      <c r="E417" s="71">
        <v>10913</v>
      </c>
      <c r="F417" s="71">
        <f>8+44+13112+194</f>
        <v>13358</v>
      </c>
      <c r="G417" s="71">
        <v>12549</v>
      </c>
      <c r="H417" s="71">
        <v>12595</v>
      </c>
      <c r="I417" s="71">
        <v>12665</v>
      </c>
      <c r="J417" s="71">
        <v>12093</v>
      </c>
      <c r="K417" s="71">
        <v>8204</v>
      </c>
      <c r="L417" s="71">
        <v>11283</v>
      </c>
      <c r="M417" s="71">
        <v>8573</v>
      </c>
      <c r="N417" s="71">
        <v>10181</v>
      </c>
      <c r="O417" s="71">
        <v>9080</v>
      </c>
      <c r="P417" s="77">
        <f t="shared" si="103"/>
        <v>132080</v>
      </c>
      <c r="Q417"/>
    </row>
    <row r="418" spans="1:17" ht="12.75" hidden="1" customHeight="1" x14ac:dyDescent="0.25">
      <c r="A418"/>
      <c r="B418" s="438"/>
      <c r="C418" s="179" t="s">
        <v>55</v>
      </c>
      <c r="D418" s="126">
        <v>57</v>
      </c>
      <c r="E418" s="127">
        <v>25</v>
      </c>
      <c r="F418" s="127">
        <v>94</v>
      </c>
      <c r="G418" s="127">
        <v>48</v>
      </c>
      <c r="H418" s="127">
        <v>39</v>
      </c>
      <c r="I418" s="127">
        <v>39</v>
      </c>
      <c r="J418" s="127">
        <v>27</v>
      </c>
      <c r="K418" s="127">
        <v>22</v>
      </c>
      <c r="L418" s="127">
        <v>24</v>
      </c>
      <c r="M418" s="126">
        <v>24</v>
      </c>
      <c r="N418" s="126">
        <v>39</v>
      </c>
      <c r="O418" s="126">
        <v>52</v>
      </c>
      <c r="P418" s="77">
        <f t="shared" si="103"/>
        <v>490</v>
      </c>
      <c r="Q418"/>
    </row>
    <row r="419" spans="1:17" ht="12.75" hidden="1" customHeight="1" thickBot="1" x14ac:dyDescent="0.3">
      <c r="A419"/>
      <c r="B419" s="431"/>
      <c r="C419" s="180" t="s">
        <v>0</v>
      </c>
      <c r="D419" s="43">
        <f t="shared" ref="D419:P419" si="104">SUM(D410:D418)</f>
        <v>20714</v>
      </c>
      <c r="E419" s="43">
        <f t="shared" si="104"/>
        <v>23950</v>
      </c>
      <c r="F419" s="43">
        <f t="shared" si="104"/>
        <v>30486</v>
      </c>
      <c r="G419" s="43">
        <f t="shared" si="104"/>
        <v>31981</v>
      </c>
      <c r="H419" s="43">
        <f t="shared" si="104"/>
        <v>29977</v>
      </c>
      <c r="I419" s="43">
        <f t="shared" si="104"/>
        <v>30556</v>
      </c>
      <c r="J419" s="43">
        <f t="shared" si="104"/>
        <v>28660</v>
      </c>
      <c r="K419" s="43">
        <f t="shared" si="104"/>
        <v>24503</v>
      </c>
      <c r="L419" s="43">
        <f t="shared" si="104"/>
        <v>27108</v>
      </c>
      <c r="M419" s="43">
        <f t="shared" si="104"/>
        <v>24051</v>
      </c>
      <c r="N419" s="43">
        <f t="shared" si="104"/>
        <v>27424</v>
      </c>
      <c r="O419" s="43">
        <f t="shared" si="104"/>
        <v>24782</v>
      </c>
      <c r="P419" s="44">
        <f t="shared" si="104"/>
        <v>324192</v>
      </c>
      <c r="Q419"/>
    </row>
    <row r="420" spans="1:17" ht="12.75" hidden="1" customHeight="1" x14ac:dyDescent="0.25">
      <c r="A420"/>
      <c r="B420" s="433" t="s">
        <v>44</v>
      </c>
      <c r="C420" s="174" t="s">
        <v>114</v>
      </c>
      <c r="D420" s="39">
        <v>0</v>
      </c>
      <c r="E420" s="40">
        <v>0</v>
      </c>
      <c r="F420" s="40">
        <v>0</v>
      </c>
      <c r="G420" s="40">
        <v>0</v>
      </c>
      <c r="H420" s="40">
        <v>0</v>
      </c>
      <c r="I420" s="40">
        <v>0</v>
      </c>
      <c r="J420" s="40">
        <v>3145</v>
      </c>
      <c r="K420" s="40">
        <v>4230</v>
      </c>
      <c r="L420" s="40">
        <v>5386</v>
      </c>
      <c r="M420" s="40">
        <v>3819</v>
      </c>
      <c r="N420" s="40">
        <v>4324</v>
      </c>
      <c r="O420" s="40">
        <v>2618</v>
      </c>
      <c r="P420" s="41">
        <f>SUM(D420:O420)</f>
        <v>23522</v>
      </c>
      <c r="Q420"/>
    </row>
    <row r="421" spans="1:17" ht="12.75" hidden="1" customHeight="1" x14ac:dyDescent="0.25">
      <c r="A421"/>
      <c r="B421" s="433"/>
      <c r="C421" s="181" t="s">
        <v>59</v>
      </c>
      <c r="D421" s="25">
        <v>2791</v>
      </c>
      <c r="E421" s="26">
        <v>3156</v>
      </c>
      <c r="F421" s="26">
        <v>3640</v>
      </c>
      <c r="G421" s="26">
        <v>3401</v>
      </c>
      <c r="H421" s="26">
        <v>4422</v>
      </c>
      <c r="I421" s="26">
        <v>4290</v>
      </c>
      <c r="J421" s="26">
        <v>4120</v>
      </c>
      <c r="K421" s="26">
        <v>4136</v>
      </c>
      <c r="L421" s="26">
        <v>4519</v>
      </c>
      <c r="M421" s="26">
        <v>3444</v>
      </c>
      <c r="N421" s="26">
        <v>4609</v>
      </c>
      <c r="O421" s="26">
        <v>3888</v>
      </c>
      <c r="P421" s="27">
        <f>SUM(D421:O421)</f>
        <v>46416</v>
      </c>
      <c r="Q421"/>
    </row>
    <row r="422" spans="1:17" ht="12.75" hidden="1" customHeight="1" x14ac:dyDescent="0.25">
      <c r="A422"/>
      <c r="B422" s="433"/>
      <c r="C422" s="176" t="s">
        <v>8</v>
      </c>
      <c r="D422" s="29">
        <v>3185</v>
      </c>
      <c r="E422" s="30">
        <v>5997</v>
      </c>
      <c r="F422" s="30">
        <v>5459</v>
      </c>
      <c r="G422" s="30">
        <v>3888</v>
      </c>
      <c r="H422" s="30">
        <v>4431</v>
      </c>
      <c r="I422" s="30">
        <v>4443</v>
      </c>
      <c r="J422" s="30">
        <v>3675</v>
      </c>
      <c r="K422" s="30">
        <v>4439</v>
      </c>
      <c r="L422" s="30">
        <v>3619</v>
      </c>
      <c r="M422" s="30">
        <v>3861</v>
      </c>
      <c r="N422" s="30">
        <v>4522</v>
      </c>
      <c r="O422" s="30">
        <v>4142</v>
      </c>
      <c r="P422" s="77">
        <f>SUM(D422:O422)</f>
        <v>51661</v>
      </c>
      <c r="Q422"/>
    </row>
    <row r="423" spans="1:17" ht="12.75" hidden="1" customHeight="1" x14ac:dyDescent="0.25">
      <c r="A423"/>
      <c r="B423" s="433"/>
      <c r="C423" s="176" t="s">
        <v>50</v>
      </c>
      <c r="D423" s="29">
        <v>678</v>
      </c>
      <c r="E423" s="30">
        <v>760</v>
      </c>
      <c r="F423" s="30">
        <v>828</v>
      </c>
      <c r="G423" s="30">
        <v>639</v>
      </c>
      <c r="H423" s="30">
        <v>570</v>
      </c>
      <c r="I423" s="30">
        <v>709</v>
      </c>
      <c r="J423" s="30">
        <v>542</v>
      </c>
      <c r="K423" s="30">
        <v>530</v>
      </c>
      <c r="L423" s="30">
        <v>585</v>
      </c>
      <c r="M423" s="30">
        <v>468</v>
      </c>
      <c r="N423" s="30">
        <v>320</v>
      </c>
      <c r="O423" s="30">
        <v>383</v>
      </c>
      <c r="P423" s="31">
        <f>SUM(D423:O423)</f>
        <v>7012</v>
      </c>
      <c r="Q423"/>
    </row>
    <row r="424" spans="1:17" ht="12.75" hidden="1" customHeight="1" thickBot="1" x14ac:dyDescent="0.3">
      <c r="A424"/>
      <c r="B424" s="439"/>
      <c r="C424" s="182" t="s">
        <v>0</v>
      </c>
      <c r="D424" s="36">
        <f t="shared" ref="D424:P424" si="105">SUM(D420:D423)</f>
        <v>6654</v>
      </c>
      <c r="E424" s="36">
        <f t="shared" si="105"/>
        <v>9913</v>
      </c>
      <c r="F424" s="36">
        <f t="shared" si="105"/>
        <v>9927</v>
      </c>
      <c r="G424" s="36">
        <f t="shared" si="105"/>
        <v>7928</v>
      </c>
      <c r="H424" s="36">
        <f t="shared" si="105"/>
        <v>9423</v>
      </c>
      <c r="I424" s="36">
        <f t="shared" si="105"/>
        <v>9442</v>
      </c>
      <c r="J424" s="36">
        <f t="shared" si="105"/>
        <v>11482</v>
      </c>
      <c r="K424" s="36">
        <f t="shared" si="105"/>
        <v>13335</v>
      </c>
      <c r="L424" s="36">
        <f t="shared" si="105"/>
        <v>14109</v>
      </c>
      <c r="M424" s="36">
        <f t="shared" si="105"/>
        <v>11592</v>
      </c>
      <c r="N424" s="36">
        <f t="shared" si="105"/>
        <v>13775</v>
      </c>
      <c r="O424" s="36">
        <f t="shared" si="105"/>
        <v>11031</v>
      </c>
      <c r="P424" s="37">
        <f t="shared" si="105"/>
        <v>128611</v>
      </c>
      <c r="Q424"/>
    </row>
    <row r="425" spans="1:17" ht="12.75" hidden="1" customHeight="1" x14ac:dyDescent="0.25">
      <c r="A425"/>
      <c r="B425" s="429" t="s">
        <v>9</v>
      </c>
      <c r="C425" s="174" t="s">
        <v>11</v>
      </c>
      <c r="D425" s="39">
        <v>3396</v>
      </c>
      <c r="E425" s="40">
        <v>3841</v>
      </c>
      <c r="F425" s="40">
        <v>4823</v>
      </c>
      <c r="G425" s="40">
        <v>4323</v>
      </c>
      <c r="H425" s="40">
        <v>3824</v>
      </c>
      <c r="I425" s="40">
        <v>4230</v>
      </c>
      <c r="J425" s="40">
        <v>3674</v>
      </c>
      <c r="K425" s="40">
        <v>3376</v>
      </c>
      <c r="L425" s="40">
        <v>3945</v>
      </c>
      <c r="M425" s="40">
        <v>3119</v>
      </c>
      <c r="N425" s="40">
        <v>4296</v>
      </c>
      <c r="O425" s="40">
        <v>2929</v>
      </c>
      <c r="P425" s="41">
        <f>SUM(D425:O425)</f>
        <v>45776</v>
      </c>
      <c r="Q425"/>
    </row>
    <row r="426" spans="1:17" ht="12.75" hidden="1" customHeight="1" x14ac:dyDescent="0.25">
      <c r="A426"/>
      <c r="B426" s="430"/>
      <c r="C426" s="181" t="s">
        <v>12</v>
      </c>
      <c r="D426" s="25">
        <v>7860</v>
      </c>
      <c r="E426" s="26">
        <v>7691</v>
      </c>
      <c r="F426" s="26">
        <v>9790</v>
      </c>
      <c r="G426" s="26">
        <v>8809</v>
      </c>
      <c r="H426" s="26">
        <v>10012</v>
      </c>
      <c r="I426" s="26">
        <v>10064</v>
      </c>
      <c r="J426" s="26">
        <v>8690</v>
      </c>
      <c r="K426" s="26">
        <v>6550</v>
      </c>
      <c r="L426" s="26">
        <v>7458</v>
      </c>
      <c r="M426" s="26">
        <v>7746</v>
      </c>
      <c r="N426" s="26">
        <v>9601</v>
      </c>
      <c r="O426" s="26">
        <v>7152</v>
      </c>
      <c r="P426" s="27">
        <f>SUM(D426:O426)</f>
        <v>101423</v>
      </c>
      <c r="Q426"/>
    </row>
    <row r="427" spans="1:17" ht="12.75" hidden="1" customHeight="1" thickBot="1" x14ac:dyDescent="0.3">
      <c r="A427"/>
      <c r="B427" s="431"/>
      <c r="C427" s="180" t="s">
        <v>0</v>
      </c>
      <c r="D427" s="43">
        <f t="shared" ref="D427:L427" si="106">SUM(D425:D426)</f>
        <v>11256</v>
      </c>
      <c r="E427" s="43">
        <f t="shared" si="106"/>
        <v>11532</v>
      </c>
      <c r="F427" s="43">
        <f t="shared" si="106"/>
        <v>14613</v>
      </c>
      <c r="G427" s="43">
        <f t="shared" si="106"/>
        <v>13132</v>
      </c>
      <c r="H427" s="43">
        <f t="shared" si="106"/>
        <v>13836</v>
      </c>
      <c r="I427" s="43">
        <f t="shared" si="106"/>
        <v>14294</v>
      </c>
      <c r="J427" s="43">
        <f t="shared" si="106"/>
        <v>12364</v>
      </c>
      <c r="K427" s="43">
        <f t="shared" si="106"/>
        <v>9926</v>
      </c>
      <c r="L427" s="43">
        <f t="shared" si="106"/>
        <v>11403</v>
      </c>
      <c r="M427" s="43">
        <f>SUM(M425:M426)</f>
        <v>10865</v>
      </c>
      <c r="N427" s="43">
        <f>SUM(N425:N426)</f>
        <v>13897</v>
      </c>
      <c r="O427" s="43">
        <f>SUM(O425:O426)</f>
        <v>10081</v>
      </c>
      <c r="P427" s="44">
        <f>SUM(P425:P426)</f>
        <v>147199</v>
      </c>
      <c r="Q427"/>
    </row>
    <row r="428" spans="1:17" ht="12.75" hidden="1" customHeight="1" x14ac:dyDescent="0.25">
      <c r="A428"/>
      <c r="B428" s="429" t="s">
        <v>10</v>
      </c>
      <c r="C428" s="174" t="s">
        <v>13</v>
      </c>
      <c r="D428" s="39">
        <v>592</v>
      </c>
      <c r="E428" s="40">
        <v>898</v>
      </c>
      <c r="F428" s="40">
        <v>884</v>
      </c>
      <c r="G428" s="40">
        <v>821</v>
      </c>
      <c r="H428" s="40">
        <v>734</v>
      </c>
      <c r="I428" s="40">
        <v>777</v>
      </c>
      <c r="J428" s="40">
        <v>759</v>
      </c>
      <c r="K428" s="40">
        <v>614</v>
      </c>
      <c r="L428" s="40">
        <v>744</v>
      </c>
      <c r="M428" s="40">
        <v>645</v>
      </c>
      <c r="N428" s="40">
        <v>747</v>
      </c>
      <c r="O428" s="40">
        <v>591</v>
      </c>
      <c r="P428" s="41">
        <f>SUM(D428:O428)</f>
        <v>8806</v>
      </c>
      <c r="Q428"/>
    </row>
    <row r="429" spans="1:17" ht="12.75" hidden="1" customHeight="1" x14ac:dyDescent="0.25">
      <c r="A429"/>
      <c r="B429" s="430"/>
      <c r="C429" s="181" t="s">
        <v>14</v>
      </c>
      <c r="D429" s="25">
        <v>1689</v>
      </c>
      <c r="E429" s="26">
        <v>2032</v>
      </c>
      <c r="F429" s="26">
        <v>2413</v>
      </c>
      <c r="G429" s="26">
        <v>2259</v>
      </c>
      <c r="H429" s="26">
        <v>2217</v>
      </c>
      <c r="I429" s="26">
        <v>2140</v>
      </c>
      <c r="J429" s="26">
        <v>2095</v>
      </c>
      <c r="K429" s="26">
        <v>1897</v>
      </c>
      <c r="L429" s="26">
        <v>2056</v>
      </c>
      <c r="M429" s="26">
        <v>1596</v>
      </c>
      <c r="N429" s="26">
        <v>1765</v>
      </c>
      <c r="O429" s="26">
        <v>1356</v>
      </c>
      <c r="P429" s="27">
        <f>SUM(D429:O429)</f>
        <v>23515</v>
      </c>
      <c r="Q429"/>
    </row>
    <row r="430" spans="1:17" ht="12.75" hidden="1" customHeight="1" thickBot="1" x14ac:dyDescent="0.3">
      <c r="A430"/>
      <c r="B430" s="431"/>
      <c r="C430" s="180" t="s">
        <v>0</v>
      </c>
      <c r="D430" s="43">
        <f t="shared" ref="D430:I430" si="107">SUM(D428:D429)</f>
        <v>2281</v>
      </c>
      <c r="E430" s="43">
        <f t="shared" si="107"/>
        <v>2930</v>
      </c>
      <c r="F430" s="43">
        <f t="shared" si="107"/>
        <v>3297</v>
      </c>
      <c r="G430" s="43">
        <f t="shared" si="107"/>
        <v>3080</v>
      </c>
      <c r="H430" s="43">
        <f t="shared" si="107"/>
        <v>2951</v>
      </c>
      <c r="I430" s="43">
        <f t="shared" si="107"/>
        <v>2917</v>
      </c>
      <c r="J430" s="43">
        <f t="shared" ref="J430:P430" si="108">SUM(J428:J429)</f>
        <v>2854</v>
      </c>
      <c r="K430" s="43">
        <f t="shared" si="108"/>
        <v>2511</v>
      </c>
      <c r="L430" s="43">
        <f t="shared" si="108"/>
        <v>2800</v>
      </c>
      <c r="M430" s="43">
        <f t="shared" si="108"/>
        <v>2241</v>
      </c>
      <c r="N430" s="43">
        <f t="shared" si="108"/>
        <v>2512</v>
      </c>
      <c r="O430" s="43">
        <f t="shared" si="108"/>
        <v>1947</v>
      </c>
      <c r="P430" s="44">
        <f t="shared" si="108"/>
        <v>32321</v>
      </c>
      <c r="Q430"/>
    </row>
    <row r="431" spans="1:17" ht="4.5" hidden="1" customHeight="1" x14ac:dyDescent="0.25">
      <c r="A431"/>
      <c r="B431" s="424" t="s">
        <v>4</v>
      </c>
      <c r="C431" s="183" t="s">
        <v>116</v>
      </c>
      <c r="D431" s="155">
        <v>0</v>
      </c>
      <c r="E431" s="155">
        <v>0</v>
      </c>
      <c r="F431" s="155">
        <v>0</v>
      </c>
      <c r="G431" s="155">
        <v>0</v>
      </c>
      <c r="H431" s="155">
        <v>0</v>
      </c>
      <c r="I431" s="155">
        <v>0</v>
      </c>
      <c r="J431" s="155">
        <v>0</v>
      </c>
      <c r="K431" s="155">
        <v>0</v>
      </c>
      <c r="L431" s="155">
        <v>386</v>
      </c>
      <c r="M431" s="155">
        <v>958</v>
      </c>
      <c r="N431" s="155">
        <v>1591</v>
      </c>
      <c r="O431" s="155">
        <v>1619</v>
      </c>
      <c r="P431" s="156">
        <f>SUM(D431:O431)</f>
        <v>4554</v>
      </c>
      <c r="Q431"/>
    </row>
    <row r="432" spans="1:17" hidden="1" x14ac:dyDescent="0.25">
      <c r="A432"/>
      <c r="B432" s="425"/>
      <c r="C432" s="184" t="s">
        <v>117</v>
      </c>
      <c r="D432" s="131">
        <v>3569</v>
      </c>
      <c r="E432" s="131">
        <v>3578</v>
      </c>
      <c r="F432" s="131">
        <v>4048</v>
      </c>
      <c r="G432" s="131">
        <v>3307</v>
      </c>
      <c r="H432" s="131">
        <v>3051</v>
      </c>
      <c r="I432" s="131">
        <v>3425</v>
      </c>
      <c r="J432" s="131">
        <v>3248</v>
      </c>
      <c r="K432" s="131">
        <v>3298</v>
      </c>
      <c r="L432" s="131">
        <v>2857</v>
      </c>
      <c r="M432" s="131">
        <v>2531</v>
      </c>
      <c r="N432" s="131">
        <v>3758</v>
      </c>
      <c r="O432" s="131">
        <v>3092</v>
      </c>
      <c r="P432" s="132">
        <f>SUM(D432:O432)</f>
        <v>39762</v>
      </c>
    </row>
    <row r="433" spans="1:17" ht="9.75" hidden="1" customHeight="1" x14ac:dyDescent="0.25">
      <c r="A433"/>
      <c r="B433" s="425"/>
      <c r="C433" s="176" t="s">
        <v>64</v>
      </c>
      <c r="D433" s="29">
        <v>626</v>
      </c>
      <c r="E433" s="30">
        <v>1210</v>
      </c>
      <c r="F433" s="30">
        <v>1394</v>
      </c>
      <c r="G433" s="30">
        <v>933</v>
      </c>
      <c r="H433" s="30">
        <v>1369</v>
      </c>
      <c r="I433" s="30">
        <v>1203</v>
      </c>
      <c r="J433" s="30">
        <v>1006</v>
      </c>
      <c r="K433" s="30">
        <v>987</v>
      </c>
      <c r="L433" s="30">
        <v>1051</v>
      </c>
      <c r="M433" s="30">
        <v>774</v>
      </c>
      <c r="N433" s="30">
        <v>938</v>
      </c>
      <c r="O433" s="30">
        <v>809</v>
      </c>
      <c r="P433" s="31">
        <f>SUM(D433:O433)</f>
        <v>12300</v>
      </c>
    </row>
    <row r="434" spans="1:17" ht="9.75" hidden="1" customHeight="1" thickBot="1" x14ac:dyDescent="0.3">
      <c r="A434"/>
      <c r="B434" s="426"/>
      <c r="C434" s="42" t="s">
        <v>0</v>
      </c>
      <c r="D434" s="43">
        <f>SUM(D431:D433)</f>
        <v>4195</v>
      </c>
      <c r="E434" s="43">
        <f t="shared" ref="E434:P434" si="109">SUM(E431:E433)</f>
        <v>4788</v>
      </c>
      <c r="F434" s="43">
        <f t="shared" si="109"/>
        <v>5442</v>
      </c>
      <c r="G434" s="43">
        <f t="shared" si="109"/>
        <v>4240</v>
      </c>
      <c r="H434" s="43">
        <f t="shared" si="109"/>
        <v>4420</v>
      </c>
      <c r="I434" s="43">
        <f t="shared" si="109"/>
        <v>4628</v>
      </c>
      <c r="J434" s="43">
        <f t="shared" si="109"/>
        <v>4254</v>
      </c>
      <c r="K434" s="43">
        <f t="shared" si="109"/>
        <v>4285</v>
      </c>
      <c r="L434" s="43">
        <f t="shared" si="109"/>
        <v>4294</v>
      </c>
      <c r="M434" s="43">
        <f t="shared" si="109"/>
        <v>4263</v>
      </c>
      <c r="N434" s="43">
        <f t="shared" si="109"/>
        <v>6287</v>
      </c>
      <c r="O434" s="43">
        <f t="shared" si="109"/>
        <v>5520</v>
      </c>
      <c r="P434" s="43">
        <f t="shared" si="109"/>
        <v>56616</v>
      </c>
    </row>
    <row r="435" spans="1:17" ht="9.9" hidden="1" customHeight="1" thickBot="1" x14ac:dyDescent="0.3">
      <c r="A435"/>
      <c r="B435" s="442" t="s">
        <v>2</v>
      </c>
      <c r="C435" s="443"/>
      <c r="D435" s="45">
        <f t="shared" ref="D435:O435" si="110">D419+D424+D430+D427+D434</f>
        <v>45100</v>
      </c>
      <c r="E435" s="45">
        <f t="shared" si="110"/>
        <v>53113</v>
      </c>
      <c r="F435" s="45">
        <f t="shared" si="110"/>
        <v>63765</v>
      </c>
      <c r="G435" s="45">
        <f t="shared" si="110"/>
        <v>60361</v>
      </c>
      <c r="H435" s="45">
        <f t="shared" si="110"/>
        <v>60607</v>
      </c>
      <c r="I435" s="45">
        <f t="shared" si="110"/>
        <v>61837</v>
      </c>
      <c r="J435" s="45">
        <f t="shared" si="110"/>
        <v>59614</v>
      </c>
      <c r="K435" s="45">
        <f t="shared" si="110"/>
        <v>54560</v>
      </c>
      <c r="L435" s="45">
        <f t="shared" si="110"/>
        <v>59714</v>
      </c>
      <c r="M435" s="45">
        <f t="shared" si="110"/>
        <v>53012</v>
      </c>
      <c r="N435" s="45">
        <f t="shared" si="110"/>
        <v>63895</v>
      </c>
      <c r="O435" s="45">
        <f t="shared" si="110"/>
        <v>53361</v>
      </c>
      <c r="P435" s="45">
        <f>SUM(P419,P424,P434,P427,P430)</f>
        <v>688939</v>
      </c>
    </row>
    <row r="436" spans="1:17" ht="9.9" hidden="1" customHeight="1" x14ac:dyDescent="0.25">
      <c r="A436"/>
      <c r="J436" s="115"/>
    </row>
    <row r="437" spans="1:17" ht="4.5" hidden="1" customHeight="1" x14ac:dyDescent="0.25">
      <c r="A437"/>
      <c r="B437" s="81" t="s">
        <v>27</v>
      </c>
      <c r="C437" s="82"/>
      <c r="D437" s="83">
        <f t="shared" ref="D437:P437" si="111">SUM(D438:D441)</f>
        <v>10586</v>
      </c>
      <c r="E437" s="83">
        <f t="shared" si="111"/>
        <v>10913</v>
      </c>
      <c r="F437" s="83">
        <f t="shared" si="111"/>
        <v>13358</v>
      </c>
      <c r="G437" s="83">
        <f t="shared" si="111"/>
        <v>12549</v>
      </c>
      <c r="H437" s="83">
        <f t="shared" si="111"/>
        <v>12595</v>
      </c>
      <c r="I437" s="83">
        <f t="shared" si="111"/>
        <v>12665</v>
      </c>
      <c r="J437" s="83">
        <f t="shared" si="111"/>
        <v>12093</v>
      </c>
      <c r="K437" s="83">
        <f t="shared" si="111"/>
        <v>8204</v>
      </c>
      <c r="L437" s="83">
        <f t="shared" si="111"/>
        <v>11283</v>
      </c>
      <c r="M437" s="83">
        <f t="shared" si="111"/>
        <v>8573</v>
      </c>
      <c r="N437" s="83">
        <f t="shared" si="111"/>
        <v>10181</v>
      </c>
      <c r="O437" s="83">
        <f t="shared" si="111"/>
        <v>9080</v>
      </c>
      <c r="P437" s="83">
        <f t="shared" si="111"/>
        <v>132080</v>
      </c>
      <c r="Q437"/>
    </row>
    <row r="438" spans="1:17" hidden="1" x14ac:dyDescent="0.25">
      <c r="A438"/>
      <c r="B438" s="85"/>
      <c r="C438" s="147" t="s">
        <v>79</v>
      </c>
      <c r="D438" s="148">
        <v>9414</v>
      </c>
      <c r="E438" s="148">
        <v>9990</v>
      </c>
      <c r="F438" s="149">
        <v>13112</v>
      </c>
      <c r="G438" s="150">
        <v>11503</v>
      </c>
      <c r="H438" s="149">
        <v>10750</v>
      </c>
      <c r="I438" s="151">
        <v>10194</v>
      </c>
      <c r="J438" s="151">
        <v>9916</v>
      </c>
      <c r="K438" s="149">
        <v>6609</v>
      </c>
      <c r="L438" s="149">
        <v>8949</v>
      </c>
      <c r="M438" s="149">
        <v>6346</v>
      </c>
      <c r="N438" s="149">
        <v>7879</v>
      </c>
      <c r="O438" s="149">
        <v>7194</v>
      </c>
      <c r="P438" s="152">
        <f>SUM(D438:O438)</f>
        <v>111856</v>
      </c>
    </row>
    <row r="439" spans="1:17" ht="9.9" hidden="1" customHeight="1" x14ac:dyDescent="0.25">
      <c r="A439"/>
      <c r="B439" s="85"/>
      <c r="C439" s="153" t="s">
        <v>85</v>
      </c>
      <c r="D439" s="99">
        <v>0</v>
      </c>
      <c r="E439" s="99">
        <v>0</v>
      </c>
      <c r="F439" s="87">
        <v>194</v>
      </c>
      <c r="G439" s="100">
        <v>1045</v>
      </c>
      <c r="H439" s="87">
        <v>1845</v>
      </c>
      <c r="I439" s="97">
        <v>2471</v>
      </c>
      <c r="J439" s="98">
        <v>2177</v>
      </c>
      <c r="K439" s="90">
        <v>1595</v>
      </c>
      <c r="L439" s="90">
        <v>2334</v>
      </c>
      <c r="M439" s="90">
        <v>2227</v>
      </c>
      <c r="N439" s="90">
        <v>2302</v>
      </c>
      <c r="O439" s="90">
        <v>1886</v>
      </c>
      <c r="P439" s="88">
        <f>SUM(D439:O439)</f>
        <v>18076</v>
      </c>
    </row>
    <row r="440" spans="1:17" ht="9.9" hidden="1" customHeight="1" x14ac:dyDescent="0.25">
      <c r="A440"/>
      <c r="B440" s="85"/>
      <c r="C440" s="86" t="s">
        <v>51</v>
      </c>
      <c r="D440" s="99">
        <v>961</v>
      </c>
      <c r="E440" s="99">
        <v>764</v>
      </c>
      <c r="F440" s="87">
        <v>8</v>
      </c>
      <c r="G440" s="100">
        <v>0</v>
      </c>
      <c r="H440" s="87">
        <v>0</v>
      </c>
      <c r="I440" s="97">
        <v>0</v>
      </c>
      <c r="J440" s="97"/>
      <c r="K440" s="87">
        <v>0</v>
      </c>
      <c r="L440" s="87">
        <v>0</v>
      </c>
      <c r="M440" s="87"/>
      <c r="N440" s="87"/>
      <c r="O440" s="87">
        <v>0</v>
      </c>
      <c r="P440" s="88">
        <f>SUM(D440:O440)</f>
        <v>1733</v>
      </c>
    </row>
    <row r="441" spans="1:17" ht="9.9" hidden="1" customHeight="1" x14ac:dyDescent="0.25">
      <c r="A441"/>
      <c r="B441" s="89"/>
      <c r="C441" s="153" t="s">
        <v>84</v>
      </c>
      <c r="D441" s="99">
        <v>211</v>
      </c>
      <c r="E441" s="99">
        <v>159</v>
      </c>
      <c r="F441" s="87">
        <v>44</v>
      </c>
      <c r="G441" s="100">
        <v>1</v>
      </c>
      <c r="H441" s="87">
        <v>0</v>
      </c>
      <c r="I441" s="97">
        <v>0</v>
      </c>
      <c r="J441" s="97"/>
      <c r="K441" s="87">
        <v>0</v>
      </c>
      <c r="L441" s="87">
        <v>0</v>
      </c>
      <c r="M441" s="87"/>
      <c r="N441" s="87"/>
      <c r="O441" s="87">
        <v>0</v>
      </c>
      <c r="P441" s="88">
        <f>SUM(D441:O441)</f>
        <v>415</v>
      </c>
    </row>
    <row r="442" spans="1:17" ht="6" hidden="1" customHeight="1" x14ac:dyDescent="0.25">
      <c r="A442"/>
      <c r="J442" s="115"/>
    </row>
    <row r="443" spans="1:17" hidden="1" x14ac:dyDescent="0.25">
      <c r="A443"/>
      <c r="B443" s="92" t="s">
        <v>25</v>
      </c>
      <c r="C443" s="93"/>
      <c r="D443" s="83">
        <f t="shared" ref="D443:P443" si="112">SUM(D444:D446)</f>
        <v>3997</v>
      </c>
      <c r="E443" s="83">
        <f t="shared" si="112"/>
        <v>4440</v>
      </c>
      <c r="F443" s="83">
        <f t="shared" si="112"/>
        <v>7578</v>
      </c>
      <c r="G443" s="83">
        <f t="shared" si="112"/>
        <v>9127</v>
      </c>
      <c r="H443" s="83">
        <f t="shared" si="112"/>
        <v>7597</v>
      </c>
      <c r="I443" s="83">
        <f t="shared" si="112"/>
        <v>9298</v>
      </c>
      <c r="J443" s="83">
        <f t="shared" si="112"/>
        <v>6685</v>
      </c>
      <c r="K443" s="83">
        <f t="shared" si="112"/>
        <v>6424</v>
      </c>
      <c r="L443" s="83">
        <f t="shared" si="112"/>
        <v>6424</v>
      </c>
      <c r="M443" s="83">
        <f t="shared" si="112"/>
        <v>7355</v>
      </c>
      <c r="N443" s="83">
        <f t="shared" si="112"/>
        <v>7459</v>
      </c>
      <c r="O443" s="83">
        <f t="shared" si="112"/>
        <v>6319</v>
      </c>
      <c r="P443" s="83">
        <f t="shared" si="112"/>
        <v>82703</v>
      </c>
    </row>
    <row r="444" spans="1:17" ht="9.9" hidden="1" customHeight="1" x14ac:dyDescent="0.25">
      <c r="A444"/>
      <c r="B444" s="85"/>
      <c r="C444" s="86" t="s">
        <v>26</v>
      </c>
      <c r="D444" s="87">
        <v>0</v>
      </c>
      <c r="E444" s="87">
        <v>0</v>
      </c>
      <c r="F444" s="87">
        <v>0</v>
      </c>
      <c r="G444" s="87">
        <v>0</v>
      </c>
      <c r="H444" s="87">
        <v>0</v>
      </c>
      <c r="I444" s="87"/>
      <c r="J444" s="87"/>
      <c r="K444" s="87"/>
      <c r="L444" s="87"/>
      <c r="M444" s="87"/>
      <c r="N444" s="87"/>
      <c r="O444" s="87"/>
      <c r="P444" s="88">
        <f>SUM(D444:O444)</f>
        <v>0</v>
      </c>
    </row>
    <row r="445" spans="1:17" ht="9.9" hidden="1" customHeight="1" x14ac:dyDescent="0.25">
      <c r="A445"/>
      <c r="B445" s="85"/>
      <c r="C445" s="86" t="s">
        <v>52</v>
      </c>
      <c r="D445" s="122">
        <v>3769</v>
      </c>
      <c r="E445" s="122">
        <v>4104</v>
      </c>
      <c r="F445" s="122">
        <v>7240</v>
      </c>
      <c r="G445" s="87">
        <v>8748</v>
      </c>
      <c r="H445" s="87">
        <v>7227</v>
      </c>
      <c r="I445" s="87">
        <v>8566</v>
      </c>
      <c r="J445" s="87">
        <v>6072</v>
      </c>
      <c r="K445" s="87">
        <v>5971</v>
      </c>
      <c r="L445" s="87">
        <v>5980</v>
      </c>
      <c r="M445" s="87">
        <v>7039</v>
      </c>
      <c r="N445" s="87">
        <v>6807</v>
      </c>
      <c r="O445" s="87">
        <v>5708</v>
      </c>
      <c r="P445" s="88">
        <f>SUM(D445:O445)</f>
        <v>77231</v>
      </c>
    </row>
    <row r="446" spans="1:17" s="16" customFormat="1" ht="12" hidden="1" customHeight="1" x14ac:dyDescent="0.25">
      <c r="A446"/>
      <c r="B446" s="89"/>
      <c r="C446" s="128" t="s">
        <v>56</v>
      </c>
      <c r="D446" s="122">
        <v>228</v>
      </c>
      <c r="E446" s="122">
        <v>336</v>
      </c>
      <c r="F446" s="122">
        <v>338</v>
      </c>
      <c r="G446" s="122">
        <v>379</v>
      </c>
      <c r="H446" s="122">
        <v>370</v>
      </c>
      <c r="I446" s="122">
        <v>732</v>
      </c>
      <c r="J446" s="122">
        <v>613</v>
      </c>
      <c r="K446" s="122">
        <v>453</v>
      </c>
      <c r="L446" s="122">
        <v>444</v>
      </c>
      <c r="M446" s="122">
        <v>316</v>
      </c>
      <c r="N446" s="122">
        <v>652</v>
      </c>
      <c r="O446" s="90">
        <v>611</v>
      </c>
      <c r="P446" s="88">
        <f>SUM(D446:O446)</f>
        <v>5472</v>
      </c>
      <c r="Q446" s="112"/>
    </row>
    <row r="447" spans="1:17" ht="14.25" hidden="1" customHeight="1" x14ac:dyDescent="0.25">
      <c r="A447"/>
      <c r="B447" s="101"/>
      <c r="C447" s="94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6"/>
    </row>
    <row r="448" spans="1:17" ht="12.75" hidden="1" customHeight="1" x14ac:dyDescent="0.25">
      <c r="A448"/>
      <c r="B448" s="81" t="s">
        <v>68</v>
      </c>
      <c r="C448" s="82"/>
      <c r="D448" s="83">
        <f t="shared" ref="D448:P448" si="113">SUM(D449:D450)</f>
        <v>525</v>
      </c>
      <c r="E448" s="83">
        <f t="shared" si="113"/>
        <v>545</v>
      </c>
      <c r="F448" s="83">
        <f t="shared" si="113"/>
        <v>1116</v>
      </c>
      <c r="G448" s="83">
        <f t="shared" si="113"/>
        <v>1055</v>
      </c>
      <c r="H448" s="83">
        <f t="shared" si="113"/>
        <v>1009</v>
      </c>
      <c r="I448" s="83">
        <f t="shared" si="113"/>
        <v>955</v>
      </c>
      <c r="J448" s="83">
        <f t="shared" si="113"/>
        <v>1216</v>
      </c>
      <c r="K448" s="83">
        <f t="shared" si="113"/>
        <v>1192</v>
      </c>
      <c r="L448" s="83">
        <f t="shared" si="113"/>
        <v>1250</v>
      </c>
      <c r="M448" s="83">
        <f t="shared" si="113"/>
        <v>989</v>
      </c>
      <c r="N448" s="83">
        <f t="shared" si="113"/>
        <v>1385</v>
      </c>
      <c r="O448" s="83">
        <f t="shared" si="113"/>
        <v>1162</v>
      </c>
      <c r="P448" s="84">
        <f t="shared" si="113"/>
        <v>12399</v>
      </c>
    </row>
    <row r="449" spans="1:18" ht="12.75" hidden="1" customHeight="1" x14ac:dyDescent="0.25">
      <c r="A449"/>
      <c r="B449" s="85"/>
      <c r="C449" s="86" t="s">
        <v>74</v>
      </c>
      <c r="D449" s="99">
        <v>255</v>
      </c>
      <c r="E449" s="99">
        <v>304</v>
      </c>
      <c r="F449" s="87">
        <v>732</v>
      </c>
      <c r="G449" s="100">
        <v>607</v>
      </c>
      <c r="H449" s="87">
        <v>517</v>
      </c>
      <c r="I449" s="97">
        <v>524</v>
      </c>
      <c r="J449" s="97">
        <v>810</v>
      </c>
      <c r="K449" s="87">
        <v>959</v>
      </c>
      <c r="L449" s="87">
        <v>846</v>
      </c>
      <c r="M449" s="87">
        <v>649</v>
      </c>
      <c r="N449" s="87">
        <v>961</v>
      </c>
      <c r="O449" s="87">
        <v>768</v>
      </c>
      <c r="P449" s="88">
        <f>SUM(D449:O449)</f>
        <v>7932</v>
      </c>
      <c r="Q449"/>
    </row>
    <row r="450" spans="1:18" ht="12.75" hidden="1" customHeight="1" x14ac:dyDescent="0.25">
      <c r="A450"/>
      <c r="B450" s="89"/>
      <c r="C450" s="86" t="s">
        <v>23</v>
      </c>
      <c r="D450" s="99">
        <v>270</v>
      </c>
      <c r="E450" s="99">
        <v>241</v>
      </c>
      <c r="F450" s="87">
        <v>384</v>
      </c>
      <c r="G450" s="100">
        <v>448</v>
      </c>
      <c r="H450" s="87">
        <v>492</v>
      </c>
      <c r="I450" s="97">
        <v>431</v>
      </c>
      <c r="J450" s="98">
        <v>406</v>
      </c>
      <c r="K450" s="90">
        <v>233</v>
      </c>
      <c r="L450" s="90">
        <v>404</v>
      </c>
      <c r="M450" s="90">
        <v>340</v>
      </c>
      <c r="N450" s="90">
        <v>424</v>
      </c>
      <c r="O450" s="90">
        <v>394</v>
      </c>
      <c r="P450" s="88">
        <f>SUM(D450:O450)</f>
        <v>4467</v>
      </c>
      <c r="Q450"/>
    </row>
    <row r="451" spans="1:18" ht="12.75" hidden="1" customHeight="1" x14ac:dyDescent="0.25">
      <c r="A451" s="16"/>
      <c r="B451" s="16"/>
      <c r="C451" s="16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6"/>
      <c r="Q451"/>
    </row>
    <row r="452" spans="1:18" ht="12.75" hidden="1" customHeight="1" thickBot="1" x14ac:dyDescent="0.3">
      <c r="A452"/>
      <c r="B452" s="18" t="s">
        <v>67</v>
      </c>
      <c r="C452" s="18"/>
      <c r="Q452"/>
    </row>
    <row r="453" spans="1:18" ht="12.75" hidden="1" customHeight="1" thickBot="1" x14ac:dyDescent="0.3">
      <c r="A453"/>
      <c r="B453" s="427" t="s">
        <v>86</v>
      </c>
      <c r="C453" s="428"/>
      <c r="D453" s="21">
        <v>1</v>
      </c>
      <c r="E453" s="22">
        <v>2</v>
      </c>
      <c r="F453" s="22">
        <v>3</v>
      </c>
      <c r="G453" s="22">
        <v>4</v>
      </c>
      <c r="H453" s="22">
        <v>5</v>
      </c>
      <c r="I453" s="22">
        <v>6</v>
      </c>
      <c r="J453" s="22">
        <v>7</v>
      </c>
      <c r="K453" s="22">
        <v>8</v>
      </c>
      <c r="L453" s="22">
        <v>9</v>
      </c>
      <c r="M453" s="22">
        <v>10</v>
      </c>
      <c r="N453" s="22">
        <v>11</v>
      </c>
      <c r="O453" s="22">
        <v>12</v>
      </c>
      <c r="P453" s="23" t="s">
        <v>87</v>
      </c>
      <c r="Q453"/>
    </row>
    <row r="454" spans="1:18" ht="12.75" hidden="1" customHeight="1" x14ac:dyDescent="0.25">
      <c r="A454"/>
      <c r="B454" s="437" t="s">
        <v>88</v>
      </c>
      <c r="C454" s="38" t="s">
        <v>89</v>
      </c>
      <c r="D454" s="39">
        <v>1016</v>
      </c>
      <c r="E454" s="40">
        <v>1047</v>
      </c>
      <c r="F454" s="39">
        <v>1735</v>
      </c>
      <c r="G454" s="40">
        <v>1351</v>
      </c>
      <c r="H454" s="40">
        <v>1292</v>
      </c>
      <c r="I454" s="40">
        <v>1576</v>
      </c>
      <c r="J454" s="40">
        <v>827</v>
      </c>
      <c r="K454" s="40">
        <v>860</v>
      </c>
      <c r="L454" s="40">
        <v>687</v>
      </c>
      <c r="M454" s="40">
        <v>824</v>
      </c>
      <c r="N454" s="40">
        <v>684</v>
      </c>
      <c r="O454" s="40">
        <v>537</v>
      </c>
      <c r="P454" s="41">
        <f t="shared" ref="P454:P464" si="114">SUM(D454:O454)</f>
        <v>12436</v>
      </c>
      <c r="Q454"/>
    </row>
    <row r="455" spans="1:18" ht="12.75" hidden="1" customHeight="1" x14ac:dyDescent="0.25">
      <c r="A455"/>
      <c r="B455" s="438"/>
      <c r="C455" s="74" t="s">
        <v>90</v>
      </c>
      <c r="D455" s="75">
        <v>56</v>
      </c>
      <c r="E455" s="76">
        <v>67</v>
      </c>
      <c r="F455" s="75">
        <v>85</v>
      </c>
      <c r="G455" s="76">
        <v>94</v>
      </c>
      <c r="H455" s="76">
        <v>46</v>
      </c>
      <c r="I455" s="76">
        <v>83</v>
      </c>
      <c r="J455" s="76">
        <v>36</v>
      </c>
      <c r="K455" s="76">
        <v>38</v>
      </c>
      <c r="L455" s="78">
        <v>25</v>
      </c>
      <c r="M455" s="76">
        <v>47</v>
      </c>
      <c r="N455" s="76">
        <v>33</v>
      </c>
      <c r="O455" s="76">
        <v>25</v>
      </c>
      <c r="P455" s="77">
        <f t="shared" si="114"/>
        <v>635</v>
      </c>
      <c r="Q455"/>
    </row>
    <row r="456" spans="1:18" ht="12.75" hidden="1" customHeight="1" x14ac:dyDescent="0.25">
      <c r="A456"/>
      <c r="B456" s="438"/>
      <c r="C456" s="74" t="s">
        <v>91</v>
      </c>
      <c r="D456" s="75">
        <v>6996</v>
      </c>
      <c r="E456" s="75">
        <v>7932</v>
      </c>
      <c r="F456" s="75">
        <v>8753</v>
      </c>
      <c r="G456" s="75">
        <v>7658</v>
      </c>
      <c r="H456" s="75">
        <v>8472</v>
      </c>
      <c r="I456" s="75">
        <v>12364</v>
      </c>
      <c r="J456" s="75">
        <v>6244</v>
      </c>
      <c r="K456" s="75">
        <v>6756</v>
      </c>
      <c r="L456" s="75">
        <v>5135</v>
      </c>
      <c r="M456" s="75">
        <v>7943</v>
      </c>
      <c r="N456" s="75">
        <v>7752</v>
      </c>
      <c r="O456" s="75">
        <v>7799</v>
      </c>
      <c r="P456" s="31">
        <f t="shared" si="114"/>
        <v>93804</v>
      </c>
      <c r="Q456"/>
    </row>
    <row r="457" spans="1:18" ht="12.75" hidden="1" customHeight="1" x14ac:dyDescent="0.25">
      <c r="A457"/>
      <c r="B457" s="438"/>
      <c r="C457" s="74" t="s">
        <v>92</v>
      </c>
      <c r="D457" s="75">
        <v>493</v>
      </c>
      <c r="E457" s="75">
        <v>1311</v>
      </c>
      <c r="F457" s="75">
        <v>1250</v>
      </c>
      <c r="G457" s="75">
        <v>755</v>
      </c>
      <c r="H457" s="75">
        <v>765</v>
      </c>
      <c r="I457" s="75">
        <v>761</v>
      </c>
      <c r="J457" s="75">
        <v>945</v>
      </c>
      <c r="K457" s="75">
        <v>667</v>
      </c>
      <c r="L457" s="75">
        <v>384</v>
      </c>
      <c r="M457" s="75">
        <v>725</v>
      </c>
      <c r="N457" s="75">
        <v>1425</v>
      </c>
      <c r="O457" s="75">
        <v>1667</v>
      </c>
      <c r="P457" s="27">
        <f t="shared" si="114"/>
        <v>11148</v>
      </c>
      <c r="Q457"/>
    </row>
    <row r="458" spans="1:18" ht="12.75" hidden="1" customHeight="1" x14ac:dyDescent="0.25">
      <c r="A458"/>
      <c r="B458" s="438"/>
      <c r="C458" s="28" t="s">
        <v>93</v>
      </c>
      <c r="D458" s="29">
        <v>174</v>
      </c>
      <c r="E458" s="30">
        <v>191</v>
      </c>
      <c r="F458" s="29">
        <v>284</v>
      </c>
      <c r="G458" s="30">
        <v>124</v>
      </c>
      <c r="H458" s="30">
        <v>115</v>
      </c>
      <c r="I458" s="30">
        <v>96</v>
      </c>
      <c r="J458" s="30">
        <v>45</v>
      </c>
      <c r="K458" s="30">
        <v>35</v>
      </c>
      <c r="L458" s="32">
        <v>172</v>
      </c>
      <c r="M458" s="30">
        <v>648</v>
      </c>
      <c r="N458" s="30">
        <v>463</v>
      </c>
      <c r="O458" s="30">
        <v>94</v>
      </c>
      <c r="P458" s="77">
        <f t="shared" si="114"/>
        <v>2441</v>
      </c>
      <c r="Q458"/>
    </row>
    <row r="459" spans="1:18" ht="12.75" hidden="1" customHeight="1" x14ac:dyDescent="0.25">
      <c r="A459"/>
      <c r="B459" s="438"/>
      <c r="C459" s="72" t="s">
        <v>94</v>
      </c>
      <c r="D459" s="73">
        <v>6207</v>
      </c>
      <c r="E459" s="73">
        <v>5916</v>
      </c>
      <c r="F459" s="73">
        <v>7053</v>
      </c>
      <c r="G459" s="73">
        <v>8057</v>
      </c>
      <c r="H459" s="73">
        <v>8547</v>
      </c>
      <c r="I459" s="73">
        <v>8768</v>
      </c>
      <c r="J459" s="73">
        <v>6858</v>
      </c>
      <c r="K459" s="73">
        <v>5923</v>
      </c>
      <c r="L459" s="73">
        <v>6106</v>
      </c>
      <c r="M459" s="73">
        <v>5604</v>
      </c>
      <c r="N459" s="73">
        <v>5907</v>
      </c>
      <c r="O459" s="73">
        <v>7257</v>
      </c>
      <c r="P459" s="77">
        <f t="shared" si="114"/>
        <v>82203</v>
      </c>
      <c r="Q459"/>
      <c r="R459" t="s">
        <v>62</v>
      </c>
    </row>
    <row r="460" spans="1:18" ht="12.75" hidden="1" customHeight="1" x14ac:dyDescent="0.25">
      <c r="A460"/>
      <c r="B460" s="438"/>
      <c r="C460" s="72" t="s">
        <v>95</v>
      </c>
      <c r="D460" s="73">
        <v>122</v>
      </c>
      <c r="E460" s="73">
        <v>107</v>
      </c>
      <c r="F460" s="73">
        <v>299</v>
      </c>
      <c r="G460" s="73">
        <v>150</v>
      </c>
      <c r="H460" s="73">
        <v>101</v>
      </c>
      <c r="I460" s="73">
        <v>112</v>
      </c>
      <c r="J460" s="73">
        <v>83</v>
      </c>
      <c r="K460" s="73">
        <v>68</v>
      </c>
      <c r="L460" s="73">
        <v>84</v>
      </c>
      <c r="M460" s="73">
        <v>68</v>
      </c>
      <c r="N460" s="73">
        <v>33</v>
      </c>
      <c r="O460" s="73">
        <v>64</v>
      </c>
      <c r="P460" s="77">
        <f t="shared" si="114"/>
        <v>1291</v>
      </c>
      <c r="Q460"/>
    </row>
    <row r="461" spans="1:18" ht="12.75" hidden="1" customHeight="1" x14ac:dyDescent="0.25">
      <c r="A461"/>
      <c r="B461" s="438"/>
      <c r="C461" s="70" t="s">
        <v>96</v>
      </c>
      <c r="D461" s="71">
        <v>5041</v>
      </c>
      <c r="E461" s="71">
        <v>3876</v>
      </c>
      <c r="F461" s="71">
        <v>4550</v>
      </c>
      <c r="G461" s="71">
        <v>5165</v>
      </c>
      <c r="H461" s="71">
        <v>5144</v>
      </c>
      <c r="I461" s="71">
        <v>6412</v>
      </c>
      <c r="J461" s="71">
        <v>3450</v>
      </c>
      <c r="K461" s="71">
        <v>3069</v>
      </c>
      <c r="L461" s="71">
        <v>3268</v>
      </c>
      <c r="M461" s="71">
        <v>3527</v>
      </c>
      <c r="N461" s="71">
        <v>7984</v>
      </c>
      <c r="O461" s="71">
        <v>17247</v>
      </c>
      <c r="P461" s="77">
        <f t="shared" si="114"/>
        <v>68733</v>
      </c>
      <c r="Q461"/>
    </row>
    <row r="462" spans="1:18" ht="12.75" hidden="1" customHeight="1" x14ac:dyDescent="0.25">
      <c r="A462"/>
      <c r="B462" s="438"/>
      <c r="C462" s="125" t="s">
        <v>97</v>
      </c>
      <c r="D462" s="126">
        <v>266</v>
      </c>
      <c r="E462" s="127">
        <v>151</v>
      </c>
      <c r="F462" s="127">
        <v>168</v>
      </c>
      <c r="G462" s="127">
        <v>176</v>
      </c>
      <c r="H462" s="127">
        <v>176</v>
      </c>
      <c r="I462" s="127">
        <v>158</v>
      </c>
      <c r="J462" s="127">
        <v>80</v>
      </c>
      <c r="K462" s="127">
        <v>91</v>
      </c>
      <c r="L462" s="127">
        <v>98</v>
      </c>
      <c r="M462" s="126">
        <v>240</v>
      </c>
      <c r="N462" s="126">
        <v>134</v>
      </c>
      <c r="O462" s="126">
        <v>508</v>
      </c>
      <c r="P462" s="77">
        <f t="shared" si="114"/>
        <v>2246</v>
      </c>
      <c r="Q462"/>
    </row>
    <row r="463" spans="1:18" ht="12.75" hidden="1" customHeight="1" x14ac:dyDescent="0.25">
      <c r="A463"/>
      <c r="B463" s="438"/>
      <c r="C463" s="33" t="s">
        <v>98</v>
      </c>
      <c r="D463" s="34">
        <v>8</v>
      </c>
      <c r="E463" s="32">
        <v>4</v>
      </c>
      <c r="F463" s="34">
        <v>20</v>
      </c>
      <c r="G463" s="32">
        <v>15</v>
      </c>
      <c r="H463" s="32">
        <v>14</v>
      </c>
      <c r="I463" s="32">
        <v>4</v>
      </c>
      <c r="J463" s="32">
        <v>0</v>
      </c>
      <c r="K463" s="32">
        <v>0</v>
      </c>
      <c r="L463" s="32">
        <v>0</v>
      </c>
      <c r="M463" s="32">
        <v>0</v>
      </c>
      <c r="N463" s="32">
        <v>0</v>
      </c>
      <c r="O463" s="32">
        <v>0</v>
      </c>
      <c r="P463" s="77">
        <f t="shared" si="114"/>
        <v>65</v>
      </c>
      <c r="Q463"/>
    </row>
    <row r="464" spans="1:18" ht="12.75" hidden="1" customHeight="1" x14ac:dyDescent="0.25">
      <c r="A464"/>
      <c r="B464" s="438"/>
      <c r="C464" s="33" t="s">
        <v>99</v>
      </c>
      <c r="D464" s="34">
        <v>34</v>
      </c>
      <c r="E464" s="32">
        <v>8</v>
      </c>
      <c r="F464" s="34">
        <v>0</v>
      </c>
      <c r="G464" s="32">
        <v>0</v>
      </c>
      <c r="H464" s="32">
        <v>0</v>
      </c>
      <c r="I464" s="32">
        <v>0</v>
      </c>
      <c r="J464" s="32">
        <v>0</v>
      </c>
      <c r="K464" s="32">
        <v>0</v>
      </c>
      <c r="L464" s="32">
        <v>0</v>
      </c>
      <c r="M464" s="32">
        <v>0</v>
      </c>
      <c r="N464" s="32">
        <v>0</v>
      </c>
      <c r="O464" s="32">
        <v>0</v>
      </c>
      <c r="P464" s="77">
        <f t="shared" si="114"/>
        <v>42</v>
      </c>
      <c r="Q464"/>
    </row>
    <row r="465" spans="1:17" ht="12.75" hidden="1" customHeight="1" thickBot="1" x14ac:dyDescent="0.3">
      <c r="A465"/>
      <c r="B465" s="431"/>
      <c r="C465" s="42" t="s">
        <v>87</v>
      </c>
      <c r="D465" s="43">
        <f>SUM(D454:D464)</f>
        <v>20413</v>
      </c>
      <c r="E465" s="43">
        <f t="shared" ref="E465:P465" si="115">SUM(E454:E464)</f>
        <v>20610</v>
      </c>
      <c r="F465" s="43">
        <f t="shared" si="115"/>
        <v>24197</v>
      </c>
      <c r="G465" s="43">
        <f t="shared" si="115"/>
        <v>23545</v>
      </c>
      <c r="H465" s="43">
        <f t="shared" si="115"/>
        <v>24672</v>
      </c>
      <c r="I465" s="43">
        <f t="shared" si="115"/>
        <v>30334</v>
      </c>
      <c r="J465" s="43">
        <v>18568</v>
      </c>
      <c r="K465" s="43">
        <v>17507</v>
      </c>
      <c r="L465" s="43">
        <v>15959</v>
      </c>
      <c r="M465" s="43">
        <v>19626</v>
      </c>
      <c r="N465" s="43">
        <v>24415</v>
      </c>
      <c r="O465" s="43">
        <v>35198</v>
      </c>
      <c r="P465" s="44">
        <f t="shared" si="115"/>
        <v>275044</v>
      </c>
      <c r="Q465"/>
    </row>
    <row r="466" spans="1:17" ht="12.75" hidden="1" customHeight="1" x14ac:dyDescent="0.25">
      <c r="A466"/>
      <c r="B466" s="433" t="s">
        <v>100</v>
      </c>
      <c r="C466" s="24" t="s">
        <v>101</v>
      </c>
      <c r="D466" s="25">
        <v>4479</v>
      </c>
      <c r="E466" s="26">
        <v>3813</v>
      </c>
      <c r="F466" s="26">
        <v>5202</v>
      </c>
      <c r="G466" s="26">
        <v>5744</v>
      </c>
      <c r="H466" s="26">
        <v>5954</v>
      </c>
      <c r="I466" s="26">
        <v>6549</v>
      </c>
      <c r="J466" s="26">
        <v>3443</v>
      </c>
      <c r="K466" s="26">
        <v>3963</v>
      </c>
      <c r="L466" s="26">
        <v>3720</v>
      </c>
      <c r="M466" s="26">
        <v>4127</v>
      </c>
      <c r="N466" s="26">
        <v>4238</v>
      </c>
      <c r="O466" s="26">
        <v>5524</v>
      </c>
      <c r="P466" s="41">
        <f t="shared" ref="P466:P478" si="116">SUM(D466:O466)</f>
        <v>56756</v>
      </c>
      <c r="Q466"/>
    </row>
    <row r="467" spans="1:17" ht="12.75" hidden="1" customHeight="1" x14ac:dyDescent="0.25">
      <c r="A467"/>
      <c r="B467" s="433"/>
      <c r="C467" s="28" t="s">
        <v>102</v>
      </c>
      <c r="D467" s="29">
        <v>5074</v>
      </c>
      <c r="E467" s="30">
        <v>5985</v>
      </c>
      <c r="F467" s="30">
        <v>7245</v>
      </c>
      <c r="G467" s="30">
        <v>6518</v>
      </c>
      <c r="H467" s="30">
        <v>7387</v>
      </c>
      <c r="I467" s="30">
        <v>8969</v>
      </c>
      <c r="J467" s="30">
        <v>4670</v>
      </c>
      <c r="K467" s="30">
        <v>5609</v>
      </c>
      <c r="L467" s="30">
        <v>7451</v>
      </c>
      <c r="M467" s="30">
        <v>4027</v>
      </c>
      <c r="N467" s="30">
        <v>5464</v>
      </c>
      <c r="O467" s="30">
        <v>8518</v>
      </c>
      <c r="P467" s="77">
        <f t="shared" si="116"/>
        <v>76917</v>
      </c>
      <c r="Q467"/>
    </row>
    <row r="468" spans="1:17" ht="12.75" hidden="1" customHeight="1" x14ac:dyDescent="0.25">
      <c r="A468"/>
      <c r="B468" s="433"/>
      <c r="C468" s="28" t="s">
        <v>103</v>
      </c>
      <c r="D468" s="29">
        <v>965</v>
      </c>
      <c r="E468" s="30">
        <v>751</v>
      </c>
      <c r="F468" s="30">
        <v>1126</v>
      </c>
      <c r="G468" s="30">
        <v>1000</v>
      </c>
      <c r="H468" s="30">
        <v>908</v>
      </c>
      <c r="I468" s="30">
        <v>1169</v>
      </c>
      <c r="J468" s="30">
        <v>505</v>
      </c>
      <c r="K468" s="30">
        <v>524</v>
      </c>
      <c r="L468" s="30">
        <v>558</v>
      </c>
      <c r="M468" s="30">
        <v>563</v>
      </c>
      <c r="N468" s="30">
        <v>500</v>
      </c>
      <c r="O468" s="30">
        <v>1017</v>
      </c>
      <c r="P468" s="31">
        <f t="shared" si="116"/>
        <v>9586</v>
      </c>
      <c r="Q468"/>
    </row>
    <row r="469" spans="1:17" ht="12.75" hidden="1" customHeight="1" thickBot="1" x14ac:dyDescent="0.3">
      <c r="A469"/>
      <c r="B469" s="439"/>
      <c r="C469" s="35" t="s">
        <v>87</v>
      </c>
      <c r="D469" s="36">
        <f t="shared" ref="D469:I469" si="117">SUM(D466:D468)</f>
        <v>10518</v>
      </c>
      <c r="E469" s="36">
        <f t="shared" si="117"/>
        <v>10549</v>
      </c>
      <c r="F469" s="36">
        <f t="shared" si="117"/>
        <v>13573</v>
      </c>
      <c r="G469" s="36">
        <f t="shared" si="117"/>
        <v>13262</v>
      </c>
      <c r="H469" s="36">
        <f t="shared" si="117"/>
        <v>14249</v>
      </c>
      <c r="I469" s="36">
        <f t="shared" si="117"/>
        <v>16687</v>
      </c>
      <c r="J469" s="36">
        <v>8618</v>
      </c>
      <c r="K469" s="36">
        <v>10096</v>
      </c>
      <c r="L469" s="36">
        <v>11729</v>
      </c>
      <c r="M469" s="36">
        <v>8717</v>
      </c>
      <c r="N469" s="36">
        <v>10202</v>
      </c>
      <c r="O469" s="36">
        <v>15059</v>
      </c>
      <c r="P469" s="37">
        <f t="shared" si="116"/>
        <v>143259</v>
      </c>
      <c r="Q469"/>
    </row>
    <row r="470" spans="1:17" ht="12.75" hidden="1" customHeight="1" x14ac:dyDescent="0.25">
      <c r="A470"/>
      <c r="B470" s="429" t="s">
        <v>104</v>
      </c>
      <c r="C470" s="38" t="s">
        <v>19</v>
      </c>
      <c r="D470" s="39">
        <v>3840</v>
      </c>
      <c r="E470" s="40">
        <v>3152</v>
      </c>
      <c r="F470" s="40">
        <v>4370</v>
      </c>
      <c r="G470" s="40">
        <v>4160</v>
      </c>
      <c r="H470" s="40">
        <v>3717</v>
      </c>
      <c r="I470" s="40">
        <v>4383</v>
      </c>
      <c r="J470" s="40">
        <v>3929</v>
      </c>
      <c r="K470" s="40">
        <v>3884</v>
      </c>
      <c r="L470" s="40">
        <v>2623</v>
      </c>
      <c r="M470" s="40">
        <v>3447</v>
      </c>
      <c r="N470" s="40">
        <v>4289</v>
      </c>
      <c r="O470" s="40">
        <v>3984</v>
      </c>
      <c r="P470" s="41">
        <f t="shared" si="116"/>
        <v>45778</v>
      </c>
      <c r="Q470"/>
    </row>
    <row r="471" spans="1:17" ht="12.75" hidden="1" customHeight="1" x14ac:dyDescent="0.25">
      <c r="A471"/>
      <c r="B471" s="430"/>
      <c r="C471" s="24" t="s">
        <v>20</v>
      </c>
      <c r="D471" s="25">
        <v>8632</v>
      </c>
      <c r="E471" s="26">
        <v>7098</v>
      </c>
      <c r="F471" s="26">
        <v>10214</v>
      </c>
      <c r="G471" s="26">
        <v>9155</v>
      </c>
      <c r="H471" s="26">
        <v>9597</v>
      </c>
      <c r="I471" s="26">
        <v>9993</v>
      </c>
      <c r="J471" s="26">
        <v>8276</v>
      </c>
      <c r="K471" s="26">
        <v>4037</v>
      </c>
      <c r="L471" s="26">
        <v>4434</v>
      </c>
      <c r="M471" s="26">
        <v>6679</v>
      </c>
      <c r="N471" s="26">
        <v>8862</v>
      </c>
      <c r="O471" s="26">
        <v>9973</v>
      </c>
      <c r="P471" s="27">
        <f t="shared" si="116"/>
        <v>96950</v>
      </c>
      <c r="Q471"/>
    </row>
    <row r="472" spans="1:17" ht="12.75" hidden="1" customHeight="1" thickBot="1" x14ac:dyDescent="0.3">
      <c r="A472"/>
      <c r="B472" s="431"/>
      <c r="C472" s="42" t="s">
        <v>87</v>
      </c>
      <c r="D472" s="43">
        <f t="shared" ref="D472:I472" si="118">SUM(D470:D471)</f>
        <v>12472</v>
      </c>
      <c r="E472" s="43">
        <f t="shared" si="118"/>
        <v>10250</v>
      </c>
      <c r="F472" s="43">
        <f t="shared" si="118"/>
        <v>14584</v>
      </c>
      <c r="G472" s="43">
        <f t="shared" si="118"/>
        <v>13315</v>
      </c>
      <c r="H472" s="43">
        <f t="shared" si="118"/>
        <v>13314</v>
      </c>
      <c r="I472" s="43">
        <f t="shared" si="118"/>
        <v>14376</v>
      </c>
      <c r="J472" s="43">
        <v>12205</v>
      </c>
      <c r="K472" s="43">
        <v>7921</v>
      </c>
      <c r="L472" s="43">
        <v>7057</v>
      </c>
      <c r="M472" s="43">
        <v>10126</v>
      </c>
      <c r="N472" s="43">
        <v>13151</v>
      </c>
      <c r="O472" s="43">
        <v>13957</v>
      </c>
      <c r="P472" s="44">
        <f t="shared" si="116"/>
        <v>142728</v>
      </c>
      <c r="Q472"/>
    </row>
    <row r="473" spans="1:17" ht="12.75" hidden="1" customHeight="1" x14ac:dyDescent="0.25">
      <c r="A473"/>
      <c r="B473" s="429" t="s">
        <v>105</v>
      </c>
      <c r="C473" s="38" t="s">
        <v>106</v>
      </c>
      <c r="D473" s="39">
        <v>616</v>
      </c>
      <c r="E473" s="40">
        <v>733</v>
      </c>
      <c r="F473" s="40">
        <v>819</v>
      </c>
      <c r="G473" s="40">
        <v>721</v>
      </c>
      <c r="H473" s="40">
        <v>693</v>
      </c>
      <c r="I473" s="40">
        <v>701</v>
      </c>
      <c r="J473" s="40">
        <v>618</v>
      </c>
      <c r="K473" s="40">
        <v>406</v>
      </c>
      <c r="L473" s="40">
        <v>427</v>
      </c>
      <c r="M473" s="40">
        <v>554</v>
      </c>
      <c r="N473" s="40">
        <v>557</v>
      </c>
      <c r="O473" s="40">
        <v>715</v>
      </c>
      <c r="P473" s="41">
        <f t="shared" si="116"/>
        <v>7560</v>
      </c>
      <c r="Q473"/>
    </row>
    <row r="474" spans="1:17" ht="12.75" hidden="1" customHeight="1" x14ac:dyDescent="0.25">
      <c r="A474"/>
      <c r="B474" s="430"/>
      <c r="C474" s="24" t="s">
        <v>107</v>
      </c>
      <c r="D474" s="25">
        <v>1394</v>
      </c>
      <c r="E474" s="26">
        <v>1523</v>
      </c>
      <c r="F474" s="26">
        <v>2134</v>
      </c>
      <c r="G474" s="26">
        <v>2213</v>
      </c>
      <c r="H474" s="26">
        <v>2110</v>
      </c>
      <c r="I474" s="26">
        <v>2136</v>
      </c>
      <c r="J474" s="26">
        <v>2079</v>
      </c>
      <c r="K474" s="26">
        <v>1680</v>
      </c>
      <c r="L474" s="26">
        <v>1900</v>
      </c>
      <c r="M474" s="26">
        <v>2322</v>
      </c>
      <c r="N474" s="26">
        <v>2345</v>
      </c>
      <c r="O474" s="26">
        <v>1937</v>
      </c>
      <c r="P474" s="27">
        <f t="shared" si="116"/>
        <v>23773</v>
      </c>
      <c r="Q474"/>
    </row>
    <row r="475" spans="1:17" ht="4.5" hidden="1" customHeight="1" thickBot="1" x14ac:dyDescent="0.3">
      <c r="A475"/>
      <c r="B475" s="431"/>
      <c r="C475" s="42" t="s">
        <v>87</v>
      </c>
      <c r="D475" s="43">
        <f t="shared" ref="D475:I475" si="119">SUM(D473:D474)</f>
        <v>2010</v>
      </c>
      <c r="E475" s="43">
        <f t="shared" si="119"/>
        <v>2256</v>
      </c>
      <c r="F475" s="43">
        <f t="shared" si="119"/>
        <v>2953</v>
      </c>
      <c r="G475" s="43">
        <f t="shared" si="119"/>
        <v>2934</v>
      </c>
      <c r="H475" s="43">
        <f t="shared" si="119"/>
        <v>2803</v>
      </c>
      <c r="I475" s="43">
        <f t="shared" si="119"/>
        <v>2837</v>
      </c>
      <c r="J475" s="43">
        <v>2697</v>
      </c>
      <c r="K475" s="43">
        <v>2086</v>
      </c>
      <c r="L475" s="43">
        <v>2327</v>
      </c>
      <c r="M475" s="43">
        <v>2876</v>
      </c>
      <c r="N475" s="43">
        <v>2902</v>
      </c>
      <c r="O475" s="43">
        <v>2652</v>
      </c>
      <c r="P475" s="44">
        <f t="shared" si="116"/>
        <v>31333</v>
      </c>
      <c r="Q475"/>
    </row>
    <row r="476" spans="1:17" ht="13.5" hidden="1" customHeight="1" x14ac:dyDescent="0.25">
      <c r="A476"/>
      <c r="B476" s="424" t="s">
        <v>108</v>
      </c>
      <c r="C476" s="133" t="s">
        <v>109</v>
      </c>
      <c r="D476" s="131">
        <v>2275</v>
      </c>
      <c r="E476" s="131">
        <v>2703</v>
      </c>
      <c r="F476" s="131">
        <v>3289</v>
      </c>
      <c r="G476" s="131">
        <v>3423</v>
      </c>
      <c r="H476" s="131">
        <v>2896</v>
      </c>
      <c r="I476" s="131">
        <v>2711</v>
      </c>
      <c r="J476" s="131">
        <v>4574</v>
      </c>
      <c r="K476" s="131">
        <v>3409</v>
      </c>
      <c r="L476" s="131">
        <v>3500</v>
      </c>
      <c r="M476" s="131">
        <v>4876</v>
      </c>
      <c r="N476" s="131">
        <v>5051</v>
      </c>
      <c r="O476" s="131">
        <v>4243</v>
      </c>
      <c r="P476" s="132">
        <f t="shared" si="116"/>
        <v>42950</v>
      </c>
    </row>
    <row r="477" spans="1:17" ht="9.75" hidden="1" customHeight="1" x14ac:dyDescent="0.25">
      <c r="A477"/>
      <c r="B477" s="425"/>
      <c r="C477" s="28" t="s">
        <v>110</v>
      </c>
      <c r="D477" s="29">
        <v>2164</v>
      </c>
      <c r="E477" s="30">
        <v>2476</v>
      </c>
      <c r="F477" s="30">
        <v>3570</v>
      </c>
      <c r="G477" s="30">
        <v>2986</v>
      </c>
      <c r="H477" s="30">
        <v>2893</v>
      </c>
      <c r="I477" s="30">
        <v>3025</v>
      </c>
      <c r="J477" s="30">
        <v>1217</v>
      </c>
      <c r="K477" s="30">
        <v>1093</v>
      </c>
      <c r="L477" s="30">
        <v>976</v>
      </c>
      <c r="M477" s="30">
        <v>965</v>
      </c>
      <c r="N477" s="30">
        <v>911</v>
      </c>
      <c r="O477" s="30">
        <v>1052</v>
      </c>
      <c r="P477" s="31">
        <f t="shared" si="116"/>
        <v>23328</v>
      </c>
    </row>
    <row r="478" spans="1:17" ht="9.9" hidden="1" customHeight="1" thickBot="1" x14ac:dyDescent="0.3">
      <c r="A478"/>
      <c r="B478" s="426"/>
      <c r="C478" s="42" t="s">
        <v>87</v>
      </c>
      <c r="D478" s="43">
        <f t="shared" ref="D478:I478" si="120">SUM(D476:D477)</f>
        <v>4439</v>
      </c>
      <c r="E478" s="43">
        <f t="shared" si="120"/>
        <v>5179</v>
      </c>
      <c r="F478" s="43">
        <f t="shared" si="120"/>
        <v>6859</v>
      </c>
      <c r="G478" s="43">
        <f t="shared" si="120"/>
        <v>6409</v>
      </c>
      <c r="H478" s="43">
        <f t="shared" si="120"/>
        <v>5789</v>
      </c>
      <c r="I478" s="43">
        <f t="shared" si="120"/>
        <v>5736</v>
      </c>
      <c r="J478" s="43">
        <v>5791</v>
      </c>
      <c r="K478" s="43">
        <v>4502</v>
      </c>
      <c r="L478" s="43">
        <v>4476</v>
      </c>
      <c r="M478" s="43">
        <v>5841</v>
      </c>
      <c r="N478" s="43">
        <v>5962</v>
      </c>
      <c r="O478" s="43">
        <v>5295</v>
      </c>
      <c r="P478" s="43">
        <f t="shared" si="116"/>
        <v>66278</v>
      </c>
    </row>
    <row r="479" spans="1:17" ht="9.9" hidden="1" customHeight="1" thickBot="1" x14ac:dyDescent="0.3">
      <c r="A479"/>
      <c r="B479" s="440" t="s">
        <v>111</v>
      </c>
      <c r="C479" s="441"/>
      <c r="D479" s="45">
        <f>D465+D469+D472+D475+D478</f>
        <v>49852</v>
      </c>
      <c r="E479" s="45">
        <f t="shared" ref="E479:P479" si="121">E465+E469+E472+E475+E478</f>
        <v>48844</v>
      </c>
      <c r="F479" s="45">
        <f t="shared" si="121"/>
        <v>62166</v>
      </c>
      <c r="G479" s="45">
        <f t="shared" si="121"/>
        <v>59465</v>
      </c>
      <c r="H479" s="45">
        <f t="shared" si="121"/>
        <v>60827</v>
      </c>
      <c r="I479" s="45">
        <f t="shared" si="121"/>
        <v>69970</v>
      </c>
      <c r="J479" s="45">
        <f t="shared" ref="J479:O479" si="122">J465+J469+J472+J475+J478</f>
        <v>47879</v>
      </c>
      <c r="K479" s="45">
        <f t="shared" si="122"/>
        <v>42112</v>
      </c>
      <c r="L479" s="45">
        <f t="shared" si="122"/>
        <v>41548</v>
      </c>
      <c r="M479" s="45">
        <f t="shared" si="122"/>
        <v>47186</v>
      </c>
      <c r="N479" s="45">
        <f t="shared" si="122"/>
        <v>56632</v>
      </c>
      <c r="O479" s="45">
        <f t="shared" si="122"/>
        <v>72161</v>
      </c>
      <c r="P479" s="45">
        <f t="shared" si="121"/>
        <v>658642</v>
      </c>
    </row>
    <row r="480" spans="1:17" ht="4.5" hidden="1" customHeight="1" x14ac:dyDescent="0.25">
      <c r="A480"/>
      <c r="D480"/>
      <c r="E480"/>
      <c r="F480"/>
      <c r="G480"/>
      <c r="H480"/>
      <c r="I480"/>
      <c r="J480" s="115"/>
      <c r="K480"/>
      <c r="L480"/>
      <c r="M480"/>
      <c r="N480"/>
      <c r="O480"/>
      <c r="P480"/>
      <c r="Q480"/>
    </row>
    <row r="481" spans="1:17" ht="13.5" hidden="1" customHeight="1" x14ac:dyDescent="0.25">
      <c r="A481"/>
      <c r="B481" s="81" t="s">
        <v>27</v>
      </c>
      <c r="C481" s="82"/>
      <c r="D481" s="83">
        <f t="shared" ref="D481:I481" si="123">SUM(D482:D484)</f>
        <v>5041</v>
      </c>
      <c r="E481" s="83">
        <f t="shared" si="123"/>
        <v>3876</v>
      </c>
      <c r="F481" s="83">
        <f t="shared" si="123"/>
        <v>4550</v>
      </c>
      <c r="G481" s="83">
        <f t="shared" si="123"/>
        <v>5165</v>
      </c>
      <c r="H481" s="83">
        <f t="shared" si="123"/>
        <v>5144</v>
      </c>
      <c r="I481" s="83">
        <f t="shared" si="123"/>
        <v>6412</v>
      </c>
      <c r="J481" s="83">
        <f t="shared" ref="J481:P481" si="124">SUM(J482:J484)</f>
        <v>3450</v>
      </c>
      <c r="K481" s="83">
        <f t="shared" si="124"/>
        <v>3069</v>
      </c>
      <c r="L481" s="83">
        <f t="shared" si="124"/>
        <v>3268</v>
      </c>
      <c r="M481" s="83">
        <f t="shared" si="124"/>
        <v>3527</v>
      </c>
      <c r="N481" s="83">
        <f t="shared" si="124"/>
        <v>7984</v>
      </c>
      <c r="O481" s="83">
        <f t="shared" si="124"/>
        <v>17247</v>
      </c>
      <c r="P481" s="83">
        <f t="shared" si="124"/>
        <v>68733</v>
      </c>
    </row>
    <row r="482" spans="1:17" ht="9.9" hidden="1" customHeight="1" x14ac:dyDescent="0.25">
      <c r="A482"/>
      <c r="B482" s="85"/>
      <c r="C482" s="135" t="s">
        <v>79</v>
      </c>
      <c r="D482" s="136">
        <v>0</v>
      </c>
      <c r="E482" s="136">
        <v>0</v>
      </c>
      <c r="F482" s="137">
        <v>0</v>
      </c>
      <c r="G482" s="138">
        <v>0</v>
      </c>
      <c r="H482" s="137">
        <v>0</v>
      </c>
      <c r="I482" s="139">
        <v>0</v>
      </c>
      <c r="J482" s="146">
        <v>0</v>
      </c>
      <c r="K482" s="145">
        <v>0</v>
      </c>
      <c r="L482" s="145">
        <v>0</v>
      </c>
      <c r="M482" s="145">
        <v>0</v>
      </c>
      <c r="N482" s="145">
        <v>4606</v>
      </c>
      <c r="O482" s="145">
        <v>13833</v>
      </c>
      <c r="P482" s="140">
        <f>SUM(D482:O482)</f>
        <v>18439</v>
      </c>
    </row>
    <row r="483" spans="1:17" ht="9.9" hidden="1" customHeight="1" x14ac:dyDescent="0.25">
      <c r="A483"/>
      <c r="B483" s="85"/>
      <c r="C483" s="86" t="s">
        <v>51</v>
      </c>
      <c r="D483" s="99">
        <v>4419</v>
      </c>
      <c r="E483" s="99">
        <v>3331</v>
      </c>
      <c r="F483" s="87">
        <v>4006</v>
      </c>
      <c r="G483" s="100">
        <v>3932</v>
      </c>
      <c r="H483" s="87">
        <v>4518</v>
      </c>
      <c r="I483" s="97">
        <v>5357</v>
      </c>
      <c r="J483" s="97">
        <v>2993</v>
      </c>
      <c r="K483" s="87">
        <v>2772</v>
      </c>
      <c r="L483" s="87">
        <v>3050</v>
      </c>
      <c r="M483" s="87">
        <v>3160</v>
      </c>
      <c r="N483" s="87">
        <v>3145</v>
      </c>
      <c r="O483" s="87">
        <v>2697</v>
      </c>
      <c r="P483" s="88">
        <f>SUM(D483:O483)</f>
        <v>43380</v>
      </c>
    </row>
    <row r="484" spans="1:17" ht="9.9" hidden="1" customHeight="1" x14ac:dyDescent="0.25">
      <c r="A484"/>
      <c r="B484" s="89"/>
      <c r="C484" s="86" t="s">
        <v>23</v>
      </c>
      <c r="D484" s="99">
        <v>622</v>
      </c>
      <c r="E484" s="99">
        <v>545</v>
      </c>
      <c r="F484" s="87">
        <v>544</v>
      </c>
      <c r="G484" s="100">
        <v>1233</v>
      </c>
      <c r="H484" s="87">
        <v>626</v>
      </c>
      <c r="I484" s="97">
        <v>1055</v>
      </c>
      <c r="J484" s="98">
        <v>457</v>
      </c>
      <c r="K484" s="90">
        <v>297</v>
      </c>
      <c r="L484" s="90">
        <v>218</v>
      </c>
      <c r="M484" s="90">
        <v>367</v>
      </c>
      <c r="N484" s="90">
        <v>233</v>
      </c>
      <c r="O484" s="90">
        <v>717</v>
      </c>
      <c r="P484" s="88">
        <f>SUM(D484:O484)</f>
        <v>6914</v>
      </c>
    </row>
    <row r="485" spans="1:17" ht="6" hidden="1" customHeight="1" x14ac:dyDescent="0.25">
      <c r="A485"/>
      <c r="D485"/>
      <c r="E485"/>
      <c r="F485"/>
      <c r="G485"/>
      <c r="H485"/>
      <c r="I485"/>
      <c r="J485" s="115"/>
      <c r="K485"/>
      <c r="L485"/>
      <c r="M485"/>
      <c r="N485"/>
      <c r="O485"/>
      <c r="P485"/>
    </row>
    <row r="486" spans="1:17" ht="13.5" hidden="1" customHeight="1" x14ac:dyDescent="0.25">
      <c r="A486"/>
      <c r="B486" s="92" t="s">
        <v>25</v>
      </c>
      <c r="C486" s="93"/>
      <c r="D486" s="83">
        <f>SUM(D487:D489)</f>
        <v>6207</v>
      </c>
      <c r="E486" s="83">
        <f t="shared" ref="E486:P486" si="125">SUM(E487:E489)</f>
        <v>5916</v>
      </c>
      <c r="F486" s="83">
        <f t="shared" si="125"/>
        <v>7053</v>
      </c>
      <c r="G486" s="83">
        <f t="shared" si="125"/>
        <v>8057</v>
      </c>
      <c r="H486" s="83">
        <f t="shared" si="125"/>
        <v>8547</v>
      </c>
      <c r="I486" s="83">
        <f t="shared" si="125"/>
        <v>8768</v>
      </c>
      <c r="J486" s="83">
        <f t="shared" si="125"/>
        <v>6858</v>
      </c>
      <c r="K486" s="83">
        <f t="shared" si="125"/>
        <v>5923</v>
      </c>
      <c r="L486" s="83">
        <f t="shared" si="125"/>
        <v>6106</v>
      </c>
      <c r="M486" s="83">
        <f t="shared" si="125"/>
        <v>5604</v>
      </c>
      <c r="N486" s="83">
        <f t="shared" si="125"/>
        <v>5907</v>
      </c>
      <c r="O486" s="83">
        <f t="shared" si="125"/>
        <v>7257</v>
      </c>
      <c r="P486" s="83">
        <f t="shared" si="125"/>
        <v>82203</v>
      </c>
    </row>
    <row r="487" spans="1:17" ht="9.9" hidden="1" customHeight="1" x14ac:dyDescent="0.25">
      <c r="A487"/>
      <c r="B487" s="85"/>
      <c r="C487" s="86" t="s">
        <v>26</v>
      </c>
      <c r="D487" s="87">
        <v>636</v>
      </c>
      <c r="E487" s="87">
        <v>486</v>
      </c>
      <c r="F487" s="87">
        <v>611</v>
      </c>
      <c r="G487" s="87">
        <v>960</v>
      </c>
      <c r="H487" s="87">
        <v>0</v>
      </c>
      <c r="I487" s="87">
        <v>0</v>
      </c>
      <c r="J487" s="87">
        <v>0</v>
      </c>
      <c r="K487" s="87">
        <v>0</v>
      </c>
      <c r="L487" s="87">
        <v>0</v>
      </c>
      <c r="M487" s="87">
        <v>0</v>
      </c>
      <c r="N487" s="87">
        <v>0</v>
      </c>
      <c r="O487" s="87">
        <v>0</v>
      </c>
      <c r="P487" s="88">
        <f>SUM(D487:O487)</f>
        <v>2693</v>
      </c>
    </row>
    <row r="488" spans="1:17" ht="9.9" hidden="1" customHeight="1" x14ac:dyDescent="0.25">
      <c r="A488"/>
      <c r="B488" s="85"/>
      <c r="C488" s="86" t="s">
        <v>52</v>
      </c>
      <c r="D488" s="122">
        <v>5035</v>
      </c>
      <c r="E488" s="122">
        <v>4839</v>
      </c>
      <c r="F488" s="122">
        <v>5906</v>
      </c>
      <c r="G488" s="87">
        <v>5788</v>
      </c>
      <c r="H488" s="87">
        <v>7972</v>
      </c>
      <c r="I488" s="87">
        <v>8002</v>
      </c>
      <c r="J488" s="87">
        <v>6341</v>
      </c>
      <c r="K488" s="87">
        <v>5528</v>
      </c>
      <c r="L488" s="87">
        <v>5717</v>
      </c>
      <c r="M488" s="87">
        <v>5179</v>
      </c>
      <c r="N488" s="87">
        <v>5581</v>
      </c>
      <c r="O488" s="87">
        <v>6318</v>
      </c>
      <c r="P488" s="88">
        <f>SUM(D488:O488)</f>
        <v>72206</v>
      </c>
    </row>
    <row r="489" spans="1:17" hidden="1" x14ac:dyDescent="0.25">
      <c r="A489"/>
      <c r="B489" s="89"/>
      <c r="C489" s="128" t="s">
        <v>56</v>
      </c>
      <c r="D489" s="122">
        <v>536</v>
      </c>
      <c r="E489" s="122">
        <v>591</v>
      </c>
      <c r="F489" s="122">
        <v>536</v>
      </c>
      <c r="G489" s="122">
        <v>1309</v>
      </c>
      <c r="H489" s="122">
        <v>575</v>
      </c>
      <c r="I489" s="122">
        <v>766</v>
      </c>
      <c r="J489" s="122">
        <v>517</v>
      </c>
      <c r="K489" s="122">
        <v>395</v>
      </c>
      <c r="L489" s="122">
        <v>389</v>
      </c>
      <c r="M489" s="122">
        <v>425</v>
      </c>
      <c r="N489" s="122">
        <v>326</v>
      </c>
      <c r="O489" s="90">
        <v>939</v>
      </c>
      <c r="P489" s="88">
        <f>SUM(D489:O489)</f>
        <v>7304</v>
      </c>
    </row>
    <row r="490" spans="1:17" ht="14.25" hidden="1" customHeight="1" x14ac:dyDescent="0.25">
      <c r="A490"/>
      <c r="B490" s="101"/>
      <c r="C490" s="94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6"/>
    </row>
    <row r="491" spans="1:17" ht="12.75" hidden="1" customHeight="1" x14ac:dyDescent="0.25">
      <c r="A491"/>
      <c r="B491" s="81" t="s">
        <v>73</v>
      </c>
      <c r="C491" s="82"/>
      <c r="D491" s="83">
        <f>SUM(D492:D493)</f>
        <v>493</v>
      </c>
      <c r="E491" s="83">
        <f t="shared" ref="E491:P491" si="126">SUM(E492:E493)</f>
        <v>1311</v>
      </c>
      <c r="F491" s="83">
        <f t="shared" si="126"/>
        <v>1250</v>
      </c>
      <c r="G491" s="83">
        <f t="shared" si="126"/>
        <v>755</v>
      </c>
      <c r="H491" s="83">
        <f t="shared" si="126"/>
        <v>765</v>
      </c>
      <c r="I491" s="83">
        <f t="shared" si="126"/>
        <v>761</v>
      </c>
      <c r="J491" s="83">
        <f t="shared" si="126"/>
        <v>945</v>
      </c>
      <c r="K491" s="83">
        <f t="shared" si="126"/>
        <v>667</v>
      </c>
      <c r="L491" s="83">
        <f t="shared" si="126"/>
        <v>384</v>
      </c>
      <c r="M491" s="83">
        <f t="shared" si="126"/>
        <v>725</v>
      </c>
      <c r="N491" s="83">
        <f t="shared" si="126"/>
        <v>1425</v>
      </c>
      <c r="O491" s="83">
        <f t="shared" si="126"/>
        <v>1667</v>
      </c>
      <c r="P491" s="84">
        <f t="shared" si="126"/>
        <v>11148</v>
      </c>
    </row>
    <row r="492" spans="1:17" ht="12.75" hidden="1" customHeight="1" x14ac:dyDescent="0.25">
      <c r="A492"/>
      <c r="B492" s="85"/>
      <c r="C492" s="86" t="s">
        <v>74</v>
      </c>
      <c r="D492" s="99">
        <v>0</v>
      </c>
      <c r="E492" s="99">
        <v>0</v>
      </c>
      <c r="F492" s="87">
        <v>0</v>
      </c>
      <c r="G492" s="100">
        <v>0</v>
      </c>
      <c r="H492" s="87">
        <v>0</v>
      </c>
      <c r="I492" s="97">
        <v>131</v>
      </c>
      <c r="J492" s="97">
        <v>574</v>
      </c>
      <c r="K492" s="87">
        <v>270</v>
      </c>
      <c r="L492" s="87">
        <v>156</v>
      </c>
      <c r="M492" s="87">
        <v>349</v>
      </c>
      <c r="N492" s="87">
        <v>1085</v>
      </c>
      <c r="O492" s="87">
        <v>1184</v>
      </c>
      <c r="P492" s="88">
        <f>SUM(D492:O492)</f>
        <v>3749</v>
      </c>
      <c r="Q492"/>
    </row>
    <row r="493" spans="1:17" ht="12.75" hidden="1" customHeight="1" x14ac:dyDescent="0.25">
      <c r="A493"/>
      <c r="B493" s="89"/>
      <c r="C493" s="86" t="s">
        <v>23</v>
      </c>
      <c r="D493" s="99">
        <v>493</v>
      </c>
      <c r="E493" s="99">
        <v>1311</v>
      </c>
      <c r="F493" s="87">
        <v>1250</v>
      </c>
      <c r="G493" s="100">
        <v>755</v>
      </c>
      <c r="H493" s="87">
        <v>765</v>
      </c>
      <c r="I493" s="97">
        <v>630</v>
      </c>
      <c r="J493" s="98">
        <v>371</v>
      </c>
      <c r="K493" s="90">
        <v>397</v>
      </c>
      <c r="L493" s="90">
        <v>228</v>
      </c>
      <c r="M493" s="90">
        <v>376</v>
      </c>
      <c r="N493" s="90">
        <v>340</v>
      </c>
      <c r="O493" s="90">
        <v>483</v>
      </c>
      <c r="P493" s="88">
        <f>SUM(D493:O493)</f>
        <v>7399</v>
      </c>
      <c r="Q493"/>
    </row>
    <row r="494" spans="1:17" ht="12.75" hidden="1" customHeight="1" x14ac:dyDescent="0.25">
      <c r="A494"/>
      <c r="Q494"/>
    </row>
    <row r="495" spans="1:17" ht="12.75" hidden="1" customHeight="1" thickBot="1" x14ac:dyDescent="0.3">
      <c r="A495"/>
      <c r="B495" s="18" t="s">
        <v>57</v>
      </c>
      <c r="C495" s="18"/>
      <c r="Q495"/>
    </row>
    <row r="496" spans="1:17" ht="12.75" hidden="1" customHeight="1" thickBot="1" x14ac:dyDescent="0.3">
      <c r="A496"/>
      <c r="B496" s="427" t="s">
        <v>1</v>
      </c>
      <c r="C496" s="428"/>
      <c r="D496" s="21">
        <v>1</v>
      </c>
      <c r="E496" s="22">
        <v>2</v>
      </c>
      <c r="F496" s="22">
        <v>3</v>
      </c>
      <c r="G496" s="22">
        <v>4</v>
      </c>
      <c r="H496" s="22">
        <v>5</v>
      </c>
      <c r="I496" s="22">
        <v>6</v>
      </c>
      <c r="J496" s="22">
        <v>7</v>
      </c>
      <c r="K496" s="22">
        <v>8</v>
      </c>
      <c r="L496" s="22">
        <v>9</v>
      </c>
      <c r="M496" s="22">
        <v>10</v>
      </c>
      <c r="N496" s="22">
        <v>11</v>
      </c>
      <c r="O496" s="22">
        <v>12</v>
      </c>
      <c r="P496" s="23" t="s">
        <v>0</v>
      </c>
      <c r="Q496"/>
    </row>
    <row r="497" spans="1:18" ht="12.75" hidden="1" customHeight="1" x14ac:dyDescent="0.25">
      <c r="A497"/>
      <c r="B497" s="437" t="s">
        <v>45</v>
      </c>
      <c r="C497" s="38" t="s">
        <v>21</v>
      </c>
      <c r="D497" s="39">
        <v>1056</v>
      </c>
      <c r="E497" s="40">
        <v>1340</v>
      </c>
      <c r="F497" s="39">
        <v>1733</v>
      </c>
      <c r="G497" s="40">
        <v>1476</v>
      </c>
      <c r="H497" s="40">
        <v>996</v>
      </c>
      <c r="I497" s="40">
        <v>1808</v>
      </c>
      <c r="J497" s="40">
        <v>1491</v>
      </c>
      <c r="K497" s="40">
        <v>1297</v>
      </c>
      <c r="L497" s="40">
        <v>1181</v>
      </c>
      <c r="M497" s="40">
        <v>1543</v>
      </c>
      <c r="N497" s="40">
        <v>1702</v>
      </c>
      <c r="O497" s="40">
        <v>2657</v>
      </c>
      <c r="P497" s="41">
        <f t="shared" ref="P497:P507" si="127">SUM(D497:O497)</f>
        <v>18280</v>
      </c>
      <c r="Q497"/>
    </row>
    <row r="498" spans="1:18" ht="12.75" hidden="1" customHeight="1" x14ac:dyDescent="0.25">
      <c r="A498"/>
      <c r="B498" s="438"/>
      <c r="C498" s="74" t="s">
        <v>22</v>
      </c>
      <c r="D498" s="75">
        <v>94</v>
      </c>
      <c r="E498" s="76">
        <v>108</v>
      </c>
      <c r="F498" s="75">
        <v>133</v>
      </c>
      <c r="G498" s="76">
        <v>120</v>
      </c>
      <c r="H498" s="76">
        <v>147</v>
      </c>
      <c r="I498" s="76">
        <v>145</v>
      </c>
      <c r="J498" s="76">
        <v>122</v>
      </c>
      <c r="K498" s="76">
        <v>107</v>
      </c>
      <c r="L498" s="78">
        <v>77</v>
      </c>
      <c r="M498" s="76">
        <v>86</v>
      </c>
      <c r="N498" s="76">
        <v>104</v>
      </c>
      <c r="O498" s="76">
        <v>117</v>
      </c>
      <c r="P498" s="77">
        <f t="shared" si="127"/>
        <v>1360</v>
      </c>
      <c r="Q498"/>
    </row>
    <row r="499" spans="1:18" ht="12.75" hidden="1" customHeight="1" x14ac:dyDescent="0.25">
      <c r="A499"/>
      <c r="B499" s="438"/>
      <c r="C499" s="74" t="s">
        <v>24</v>
      </c>
      <c r="D499" s="75">
        <v>4357</v>
      </c>
      <c r="E499" s="75">
        <v>6717</v>
      </c>
      <c r="F499" s="75">
        <v>7239</v>
      </c>
      <c r="G499" s="75">
        <v>7775</v>
      </c>
      <c r="H499" s="75">
        <v>6620</v>
      </c>
      <c r="I499" s="75">
        <v>7023</v>
      </c>
      <c r="J499" s="75">
        <v>6891</v>
      </c>
      <c r="K499" s="75">
        <v>8806</v>
      </c>
      <c r="L499" s="75">
        <v>8583</v>
      </c>
      <c r="M499" s="75">
        <v>12838</v>
      </c>
      <c r="N499" s="75">
        <v>10119</v>
      </c>
      <c r="O499" s="75">
        <v>13454</v>
      </c>
      <c r="P499" s="77">
        <f t="shared" si="127"/>
        <v>100422</v>
      </c>
      <c r="Q499"/>
    </row>
    <row r="500" spans="1:18" ht="12.75" hidden="1" customHeight="1" x14ac:dyDescent="0.25">
      <c r="A500"/>
      <c r="B500" s="438"/>
      <c r="C500" s="28" t="s">
        <v>3</v>
      </c>
      <c r="D500" s="29">
        <v>184</v>
      </c>
      <c r="E500" s="30">
        <v>350</v>
      </c>
      <c r="F500" s="29">
        <v>364</v>
      </c>
      <c r="G500" s="30">
        <v>295</v>
      </c>
      <c r="H500" s="30">
        <v>285</v>
      </c>
      <c r="I500" s="30">
        <v>317</v>
      </c>
      <c r="J500" s="30">
        <v>311</v>
      </c>
      <c r="K500" s="30">
        <v>233</v>
      </c>
      <c r="L500" s="32">
        <v>172</v>
      </c>
      <c r="M500" s="30">
        <v>170</v>
      </c>
      <c r="N500" s="30">
        <v>280</v>
      </c>
      <c r="O500" s="30">
        <v>331</v>
      </c>
      <c r="P500" s="77">
        <f t="shared" si="127"/>
        <v>3292</v>
      </c>
      <c r="Q500"/>
    </row>
    <row r="501" spans="1:18" ht="12.75" hidden="1" customHeight="1" x14ac:dyDescent="0.25">
      <c r="A501"/>
      <c r="B501" s="438"/>
      <c r="C501" s="72" t="s">
        <v>25</v>
      </c>
      <c r="D501" s="73">
        <v>6907</v>
      </c>
      <c r="E501" s="73">
        <v>7306</v>
      </c>
      <c r="F501" s="73">
        <v>8556</v>
      </c>
      <c r="G501" s="73">
        <v>8446</v>
      </c>
      <c r="H501" s="73">
        <v>9495</v>
      </c>
      <c r="I501" s="73">
        <v>9604</v>
      </c>
      <c r="J501" s="73">
        <v>8380</v>
      </c>
      <c r="K501" s="73">
        <v>8218</v>
      </c>
      <c r="L501" s="73">
        <v>8033</v>
      </c>
      <c r="M501" s="73">
        <v>10487</v>
      </c>
      <c r="N501" s="73">
        <v>10328</v>
      </c>
      <c r="O501" s="73">
        <v>12678</v>
      </c>
      <c r="P501" s="77">
        <f t="shared" si="127"/>
        <v>108438</v>
      </c>
      <c r="Q501"/>
    </row>
    <row r="502" spans="1:18" ht="12.75" hidden="1" customHeight="1" x14ac:dyDescent="0.25">
      <c r="A502"/>
      <c r="B502" s="438"/>
      <c r="C502" s="72" t="s">
        <v>43</v>
      </c>
      <c r="D502" s="73">
        <v>187</v>
      </c>
      <c r="E502" s="73">
        <v>192</v>
      </c>
      <c r="F502" s="73">
        <v>303</v>
      </c>
      <c r="G502" s="73">
        <v>188</v>
      </c>
      <c r="H502" s="73">
        <v>156</v>
      </c>
      <c r="I502" s="73">
        <v>153</v>
      </c>
      <c r="J502" s="73">
        <v>139</v>
      </c>
      <c r="K502" s="73">
        <v>103</v>
      </c>
      <c r="L502" s="73">
        <v>127</v>
      </c>
      <c r="M502" s="73">
        <v>142</v>
      </c>
      <c r="N502" s="73">
        <v>156</v>
      </c>
      <c r="O502" s="73">
        <v>197</v>
      </c>
      <c r="P502" s="77">
        <f t="shared" si="127"/>
        <v>2043</v>
      </c>
      <c r="Q502"/>
      <c r="R502" t="s">
        <v>62</v>
      </c>
    </row>
    <row r="503" spans="1:18" ht="12.75" hidden="1" customHeight="1" x14ac:dyDescent="0.25">
      <c r="A503"/>
      <c r="B503" s="438"/>
      <c r="C503" s="70" t="s">
        <v>27</v>
      </c>
      <c r="D503" s="71">
        <v>6513</v>
      </c>
      <c r="E503" s="71">
        <v>6369</v>
      </c>
      <c r="F503" s="71">
        <v>7037</v>
      </c>
      <c r="G503" s="71">
        <v>7911</v>
      </c>
      <c r="H503" s="71">
        <v>6609</v>
      </c>
      <c r="I503" s="71">
        <v>7150</v>
      </c>
      <c r="J503" s="71">
        <v>7044</v>
      </c>
      <c r="K503" s="71">
        <v>6062</v>
      </c>
      <c r="L503" s="71">
        <v>6273</v>
      </c>
      <c r="M503" s="71">
        <v>6834</v>
      </c>
      <c r="N503" s="71">
        <v>8180</v>
      </c>
      <c r="O503" s="71">
        <v>11200</v>
      </c>
      <c r="P503" s="77">
        <f t="shared" si="127"/>
        <v>87182</v>
      </c>
      <c r="Q503"/>
    </row>
    <row r="504" spans="1:18" ht="12.75" hidden="1" customHeight="1" x14ac:dyDescent="0.25">
      <c r="A504"/>
      <c r="B504" s="438"/>
      <c r="C504" s="125" t="s">
        <v>55</v>
      </c>
      <c r="D504" s="126">
        <v>1070</v>
      </c>
      <c r="E504" s="127">
        <v>1054</v>
      </c>
      <c r="F504" s="127">
        <v>866</v>
      </c>
      <c r="G504" s="127">
        <v>965</v>
      </c>
      <c r="H504" s="127">
        <v>504</v>
      </c>
      <c r="I504" s="127">
        <v>771</v>
      </c>
      <c r="J504" s="127">
        <v>612</v>
      </c>
      <c r="K504" s="127">
        <v>425</v>
      </c>
      <c r="L504" s="127">
        <v>821</v>
      </c>
      <c r="M504" s="126">
        <v>375</v>
      </c>
      <c r="N504" s="126">
        <v>598</v>
      </c>
      <c r="O504" s="126">
        <v>568</v>
      </c>
      <c r="P504" s="77">
        <f t="shared" si="127"/>
        <v>8629</v>
      </c>
      <c r="Q504"/>
    </row>
    <row r="505" spans="1:18" ht="12.75" hidden="1" customHeight="1" x14ac:dyDescent="0.25">
      <c r="A505"/>
      <c r="B505" s="438"/>
      <c r="C505" s="125" t="s">
        <v>4</v>
      </c>
      <c r="D505" s="126">
        <v>3268</v>
      </c>
      <c r="E505" s="127">
        <v>2402</v>
      </c>
      <c r="F505" s="127">
        <v>3535</v>
      </c>
      <c r="G505" s="127">
        <v>3365</v>
      </c>
      <c r="H505" s="127">
        <v>2830</v>
      </c>
      <c r="I505" s="127">
        <v>3160</v>
      </c>
      <c r="J505" s="127">
        <v>3070</v>
      </c>
      <c r="K505" s="127">
        <v>2593</v>
      </c>
      <c r="L505" s="127">
        <v>2823</v>
      </c>
      <c r="M505" s="126">
        <v>3248</v>
      </c>
      <c r="N505" s="126">
        <v>0</v>
      </c>
      <c r="O505" s="126">
        <v>0</v>
      </c>
      <c r="P505" s="77">
        <f t="shared" si="127"/>
        <v>30294</v>
      </c>
      <c r="Q505"/>
    </row>
    <row r="506" spans="1:18" ht="12.75" hidden="1" customHeight="1" x14ac:dyDescent="0.25">
      <c r="A506"/>
      <c r="B506" s="438"/>
      <c r="C506" s="33" t="s">
        <v>5</v>
      </c>
      <c r="D506" s="34">
        <v>29</v>
      </c>
      <c r="E506" s="32">
        <v>12</v>
      </c>
      <c r="F506" s="34">
        <v>19</v>
      </c>
      <c r="G506" s="32">
        <v>24</v>
      </c>
      <c r="H506" s="32">
        <v>27</v>
      </c>
      <c r="I506" s="32">
        <v>32</v>
      </c>
      <c r="J506" s="32">
        <v>8</v>
      </c>
      <c r="K506" s="32">
        <v>28</v>
      </c>
      <c r="L506" s="32">
        <v>14</v>
      </c>
      <c r="M506" s="32">
        <v>17</v>
      </c>
      <c r="N506" s="32">
        <v>19</v>
      </c>
      <c r="O506" s="32">
        <v>14</v>
      </c>
      <c r="P506" s="77">
        <f t="shared" si="127"/>
        <v>243</v>
      </c>
      <c r="Q506"/>
    </row>
    <row r="507" spans="1:18" ht="12.75" hidden="1" customHeight="1" x14ac:dyDescent="0.25">
      <c r="A507"/>
      <c r="B507" s="438"/>
      <c r="C507" s="33" t="s">
        <v>6</v>
      </c>
      <c r="D507" s="34">
        <v>921</v>
      </c>
      <c r="E507" s="32">
        <v>552</v>
      </c>
      <c r="F507" s="34">
        <v>598</v>
      </c>
      <c r="G507" s="32">
        <v>537</v>
      </c>
      <c r="H507" s="32">
        <v>457</v>
      </c>
      <c r="I507" s="32">
        <v>409</v>
      </c>
      <c r="J507" s="32">
        <v>226</v>
      </c>
      <c r="K507" s="32">
        <v>181</v>
      </c>
      <c r="L507" s="32">
        <v>196</v>
      </c>
      <c r="M507" s="32">
        <v>335</v>
      </c>
      <c r="N507" s="32">
        <v>267</v>
      </c>
      <c r="O507" s="32">
        <v>479</v>
      </c>
      <c r="P507" s="77">
        <f t="shared" si="127"/>
        <v>5158</v>
      </c>
      <c r="Q507"/>
    </row>
    <row r="508" spans="1:18" ht="12.75" hidden="1" customHeight="1" thickBot="1" x14ac:dyDescent="0.3">
      <c r="A508"/>
      <c r="B508" s="431"/>
      <c r="C508" s="42" t="s">
        <v>0</v>
      </c>
      <c r="D508" s="43">
        <f t="shared" ref="D508:P508" si="128">SUM(D497:D507)</f>
        <v>24586</v>
      </c>
      <c r="E508" s="43">
        <f t="shared" si="128"/>
        <v>26402</v>
      </c>
      <c r="F508" s="43">
        <f t="shared" si="128"/>
        <v>30383</v>
      </c>
      <c r="G508" s="43">
        <f t="shared" si="128"/>
        <v>31102</v>
      </c>
      <c r="H508" s="43">
        <f t="shared" si="128"/>
        <v>28126</v>
      </c>
      <c r="I508" s="43">
        <f t="shared" si="128"/>
        <v>30572</v>
      </c>
      <c r="J508" s="43">
        <f t="shared" si="128"/>
        <v>28294</v>
      </c>
      <c r="K508" s="43">
        <f t="shared" si="128"/>
        <v>28053</v>
      </c>
      <c r="L508" s="43">
        <f t="shared" si="128"/>
        <v>28300</v>
      </c>
      <c r="M508" s="43">
        <f t="shared" si="128"/>
        <v>36075</v>
      </c>
      <c r="N508" s="43">
        <f t="shared" si="128"/>
        <v>31753</v>
      </c>
      <c r="O508" s="43">
        <f t="shared" si="128"/>
        <v>41695</v>
      </c>
      <c r="P508" s="44">
        <f t="shared" si="128"/>
        <v>365341</v>
      </c>
      <c r="Q508"/>
    </row>
    <row r="509" spans="1:18" ht="12.75" hidden="1" customHeight="1" x14ac:dyDescent="0.25">
      <c r="A509"/>
      <c r="B509" s="433" t="s">
        <v>44</v>
      </c>
      <c r="C509" s="24" t="s">
        <v>59</v>
      </c>
      <c r="D509" s="25">
        <v>2621</v>
      </c>
      <c r="E509" s="26">
        <v>1751</v>
      </c>
      <c r="F509" s="26">
        <v>4389</v>
      </c>
      <c r="G509" s="26">
        <v>9255</v>
      </c>
      <c r="H509" s="26">
        <v>7270</v>
      </c>
      <c r="I509" s="26">
        <v>4929</v>
      </c>
      <c r="J509" s="26">
        <v>4209</v>
      </c>
      <c r="K509" s="26">
        <v>2920</v>
      </c>
      <c r="L509" s="26">
        <v>3237</v>
      </c>
      <c r="M509" s="26">
        <v>5574</v>
      </c>
      <c r="N509" s="26">
        <v>5520</v>
      </c>
      <c r="O509" s="26">
        <v>5736</v>
      </c>
      <c r="P509" s="41">
        <f>SUM(D509:O509)</f>
        <v>57411</v>
      </c>
      <c r="Q509"/>
    </row>
    <row r="510" spans="1:18" ht="12.75" hidden="1" customHeight="1" x14ac:dyDescent="0.25">
      <c r="A510"/>
      <c r="B510" s="433"/>
      <c r="C510" s="28" t="s">
        <v>8</v>
      </c>
      <c r="D510" s="29">
        <v>6689</v>
      </c>
      <c r="E510" s="30">
        <v>4892</v>
      </c>
      <c r="F510" s="30">
        <v>5815</v>
      </c>
      <c r="G510" s="30">
        <v>5679</v>
      </c>
      <c r="H510" s="30">
        <v>5458</v>
      </c>
      <c r="I510" s="30">
        <v>9073</v>
      </c>
      <c r="J510" s="30">
        <v>9942</v>
      </c>
      <c r="K510" s="30">
        <v>7957</v>
      </c>
      <c r="L510" s="30">
        <v>7568</v>
      </c>
      <c r="M510" s="30">
        <v>8787</v>
      </c>
      <c r="N510" s="30">
        <v>8879</v>
      </c>
      <c r="O510" s="30">
        <v>12189</v>
      </c>
      <c r="P510" s="77">
        <f>SUM(D510:O510)</f>
        <v>92928</v>
      </c>
      <c r="Q510"/>
    </row>
    <row r="511" spans="1:18" ht="12.75" hidden="1" customHeight="1" x14ac:dyDescent="0.25">
      <c r="A511"/>
      <c r="B511" s="433"/>
      <c r="C511" s="28" t="s">
        <v>54</v>
      </c>
      <c r="D511" s="29">
        <v>488</v>
      </c>
      <c r="E511" s="30">
        <v>273</v>
      </c>
      <c r="F511" s="30">
        <v>297</v>
      </c>
      <c r="G511" s="30">
        <v>237</v>
      </c>
      <c r="H511" s="30">
        <v>216</v>
      </c>
      <c r="I511" s="30">
        <v>267</v>
      </c>
      <c r="J511" s="30">
        <v>313</v>
      </c>
      <c r="K511" s="30">
        <v>258</v>
      </c>
      <c r="L511" s="30">
        <v>272</v>
      </c>
      <c r="M511" s="30">
        <v>314</v>
      </c>
      <c r="N511" s="30">
        <v>14</v>
      </c>
      <c r="O511" s="30">
        <v>0</v>
      </c>
      <c r="P511" s="77">
        <f>SUM(D511:O511)</f>
        <v>2949</v>
      </c>
      <c r="Q511"/>
    </row>
    <row r="512" spans="1:18" ht="12.75" hidden="1" customHeight="1" x14ac:dyDescent="0.25">
      <c r="A512"/>
      <c r="B512" s="433"/>
      <c r="C512" s="28" t="s">
        <v>50</v>
      </c>
      <c r="D512" s="29">
        <v>755</v>
      </c>
      <c r="E512" s="30">
        <v>694</v>
      </c>
      <c r="F512" s="30">
        <v>738</v>
      </c>
      <c r="G512" s="30">
        <v>667</v>
      </c>
      <c r="H512" s="30">
        <v>522</v>
      </c>
      <c r="I512" s="30">
        <v>572</v>
      </c>
      <c r="J512" s="30">
        <v>486</v>
      </c>
      <c r="K512" s="30">
        <v>419</v>
      </c>
      <c r="L512" s="30">
        <v>1101</v>
      </c>
      <c r="M512" s="30">
        <v>1617</v>
      </c>
      <c r="N512" s="30">
        <v>1500</v>
      </c>
      <c r="O512" s="30">
        <v>1435</v>
      </c>
      <c r="P512" s="31">
        <f>SUM(D512:O512)</f>
        <v>10506</v>
      </c>
      <c r="Q512"/>
    </row>
    <row r="513" spans="1:17" ht="12.75" hidden="1" customHeight="1" thickBot="1" x14ac:dyDescent="0.3">
      <c r="A513"/>
      <c r="B513" s="439"/>
      <c r="C513" s="35" t="s">
        <v>0</v>
      </c>
      <c r="D513" s="36">
        <f t="shared" ref="D513:P513" si="129">SUM(D509:D512)</f>
        <v>10553</v>
      </c>
      <c r="E513" s="36">
        <f t="shared" si="129"/>
        <v>7610</v>
      </c>
      <c r="F513" s="36">
        <f t="shared" si="129"/>
        <v>11239</v>
      </c>
      <c r="G513" s="36">
        <f t="shared" si="129"/>
        <v>15838</v>
      </c>
      <c r="H513" s="36">
        <f t="shared" si="129"/>
        <v>13466</v>
      </c>
      <c r="I513" s="36">
        <f t="shared" si="129"/>
        <v>14841</v>
      </c>
      <c r="J513" s="36">
        <f t="shared" si="129"/>
        <v>14950</v>
      </c>
      <c r="K513" s="36">
        <f t="shared" si="129"/>
        <v>11554</v>
      </c>
      <c r="L513" s="36">
        <f t="shared" si="129"/>
        <v>12178</v>
      </c>
      <c r="M513" s="36">
        <f t="shared" si="129"/>
        <v>16292</v>
      </c>
      <c r="N513" s="36">
        <f t="shared" si="129"/>
        <v>15913</v>
      </c>
      <c r="O513" s="36">
        <f t="shared" si="129"/>
        <v>19360</v>
      </c>
      <c r="P513" s="37">
        <f t="shared" si="129"/>
        <v>163794</v>
      </c>
      <c r="Q513"/>
    </row>
    <row r="514" spans="1:17" ht="12.75" hidden="1" customHeight="1" x14ac:dyDescent="0.25">
      <c r="A514"/>
      <c r="B514" s="429" t="s">
        <v>9</v>
      </c>
      <c r="C514" s="38" t="s">
        <v>11</v>
      </c>
      <c r="D514" s="39">
        <v>4103</v>
      </c>
      <c r="E514" s="40">
        <v>3733</v>
      </c>
      <c r="F514" s="40">
        <v>4771</v>
      </c>
      <c r="G514" s="40">
        <v>4647</v>
      </c>
      <c r="H514" s="40">
        <v>3714</v>
      </c>
      <c r="I514" s="40">
        <v>4972</v>
      </c>
      <c r="J514" s="40">
        <v>4802</v>
      </c>
      <c r="K514" s="40">
        <v>3182</v>
      </c>
      <c r="L514" s="40">
        <v>2985</v>
      </c>
      <c r="M514" s="40">
        <v>3802</v>
      </c>
      <c r="N514" s="40">
        <v>3857</v>
      </c>
      <c r="O514" s="40">
        <v>3816</v>
      </c>
      <c r="P514" s="41">
        <f>SUM(D514:O514)</f>
        <v>48384</v>
      </c>
      <c r="Q514"/>
    </row>
    <row r="515" spans="1:17" ht="12.75" hidden="1" customHeight="1" x14ac:dyDescent="0.25">
      <c r="A515"/>
      <c r="B515" s="430"/>
      <c r="C515" s="24" t="s">
        <v>12</v>
      </c>
      <c r="D515" s="25">
        <v>8860</v>
      </c>
      <c r="E515" s="26">
        <v>6873</v>
      </c>
      <c r="F515" s="26">
        <v>9117</v>
      </c>
      <c r="G515" s="26">
        <v>9455</v>
      </c>
      <c r="H515" s="26">
        <v>7378</v>
      </c>
      <c r="I515" s="26">
        <v>9957</v>
      </c>
      <c r="J515" s="26">
        <v>9525</v>
      </c>
      <c r="K515" s="26">
        <v>6234</v>
      </c>
      <c r="L515" s="26">
        <v>6430</v>
      </c>
      <c r="M515" s="26">
        <v>8978</v>
      </c>
      <c r="N515" s="26">
        <v>8520</v>
      </c>
      <c r="O515" s="26">
        <v>8416</v>
      </c>
      <c r="P515" s="27">
        <f>SUM(D515:O515)</f>
        <v>99743</v>
      </c>
      <c r="Q515"/>
    </row>
    <row r="516" spans="1:17" ht="12.75" hidden="1" customHeight="1" thickBot="1" x14ac:dyDescent="0.3">
      <c r="A516"/>
      <c r="B516" s="431"/>
      <c r="C516" s="42" t="s">
        <v>0</v>
      </c>
      <c r="D516" s="43">
        <f t="shared" ref="D516:L516" si="130">SUM(D514:D515)</f>
        <v>12963</v>
      </c>
      <c r="E516" s="43">
        <f t="shared" si="130"/>
        <v>10606</v>
      </c>
      <c r="F516" s="43">
        <f t="shared" si="130"/>
        <v>13888</v>
      </c>
      <c r="G516" s="43">
        <f t="shared" si="130"/>
        <v>14102</v>
      </c>
      <c r="H516" s="43">
        <f t="shared" si="130"/>
        <v>11092</v>
      </c>
      <c r="I516" s="43">
        <f t="shared" si="130"/>
        <v>14929</v>
      </c>
      <c r="J516" s="43">
        <f t="shared" si="130"/>
        <v>14327</v>
      </c>
      <c r="K516" s="43">
        <f t="shared" si="130"/>
        <v>9416</v>
      </c>
      <c r="L516" s="43">
        <f t="shared" si="130"/>
        <v>9415</v>
      </c>
      <c r="M516" s="43">
        <f>SUM(M514:M515)</f>
        <v>12780</v>
      </c>
      <c r="N516" s="43">
        <f>SUM(N514:N515)</f>
        <v>12377</v>
      </c>
      <c r="O516" s="43">
        <f>SUM(O514:O515)</f>
        <v>12232</v>
      </c>
      <c r="P516" s="44">
        <f>SUM(P514:P515)</f>
        <v>148127</v>
      </c>
      <c r="Q516"/>
    </row>
    <row r="517" spans="1:17" ht="12.75" hidden="1" customHeight="1" x14ac:dyDescent="0.25">
      <c r="A517"/>
      <c r="B517" s="429" t="s">
        <v>10</v>
      </c>
      <c r="C517" s="38" t="s">
        <v>13</v>
      </c>
      <c r="D517" s="39">
        <v>593</v>
      </c>
      <c r="E517" s="40">
        <v>693</v>
      </c>
      <c r="F517" s="40">
        <v>879</v>
      </c>
      <c r="G517" s="40">
        <v>868</v>
      </c>
      <c r="H517" s="40">
        <v>737</v>
      </c>
      <c r="I517" s="40">
        <v>757</v>
      </c>
      <c r="J517" s="40">
        <v>665</v>
      </c>
      <c r="K517" s="40">
        <v>626</v>
      </c>
      <c r="L517" s="40">
        <v>592</v>
      </c>
      <c r="M517" s="40">
        <v>729</v>
      </c>
      <c r="N517" s="40">
        <v>728</v>
      </c>
      <c r="O517" s="40">
        <v>728</v>
      </c>
      <c r="P517" s="41">
        <f>SUM(D517:O517)</f>
        <v>8595</v>
      </c>
      <c r="Q517"/>
    </row>
    <row r="518" spans="1:17" ht="12.75" hidden="1" customHeight="1" x14ac:dyDescent="0.25">
      <c r="A518"/>
      <c r="B518" s="430"/>
      <c r="C518" s="24" t="s">
        <v>14</v>
      </c>
      <c r="D518" s="25">
        <v>1718</v>
      </c>
      <c r="E518" s="26">
        <v>1548</v>
      </c>
      <c r="F518" s="26">
        <v>1576</v>
      </c>
      <c r="G518" s="26">
        <v>1140</v>
      </c>
      <c r="H518" s="26">
        <v>1569</v>
      </c>
      <c r="I518" s="26">
        <v>1703</v>
      </c>
      <c r="J518" s="26">
        <v>1721</v>
      </c>
      <c r="K518" s="26">
        <v>1449</v>
      </c>
      <c r="L518" s="26">
        <v>1469</v>
      </c>
      <c r="M518" s="26">
        <v>1931</v>
      </c>
      <c r="N518" s="26">
        <v>1738</v>
      </c>
      <c r="O518" s="26">
        <v>1543</v>
      </c>
      <c r="P518" s="27">
        <f>SUM(D518:O518)</f>
        <v>19105</v>
      </c>
      <c r="Q518"/>
    </row>
    <row r="519" spans="1:17" ht="8.4" hidden="1" customHeight="1" thickBot="1" x14ac:dyDescent="0.3">
      <c r="A519"/>
      <c r="B519" s="431"/>
      <c r="C519" s="42" t="s">
        <v>0</v>
      </c>
      <c r="D519" s="43">
        <f t="shared" ref="D519:I519" si="131">SUM(D517:D518)</f>
        <v>2311</v>
      </c>
      <c r="E519" s="43">
        <f t="shared" si="131"/>
        <v>2241</v>
      </c>
      <c r="F519" s="43">
        <f t="shared" si="131"/>
        <v>2455</v>
      </c>
      <c r="G519" s="43">
        <f t="shared" si="131"/>
        <v>2008</v>
      </c>
      <c r="H519" s="43">
        <f t="shared" si="131"/>
        <v>2306</v>
      </c>
      <c r="I519" s="43">
        <f t="shared" si="131"/>
        <v>2460</v>
      </c>
      <c r="J519" s="43">
        <f t="shared" ref="J519:P519" si="132">SUM(J517:J518)</f>
        <v>2386</v>
      </c>
      <c r="K519" s="43">
        <f t="shared" si="132"/>
        <v>2075</v>
      </c>
      <c r="L519" s="43">
        <f t="shared" si="132"/>
        <v>2061</v>
      </c>
      <c r="M519" s="43">
        <f t="shared" si="132"/>
        <v>2660</v>
      </c>
      <c r="N519" s="43">
        <f t="shared" si="132"/>
        <v>2466</v>
      </c>
      <c r="O519" s="43">
        <f t="shared" si="132"/>
        <v>2271</v>
      </c>
      <c r="P519" s="44">
        <f t="shared" si="132"/>
        <v>27700</v>
      </c>
      <c r="Q519"/>
    </row>
    <row r="520" spans="1:17" ht="13.5" hidden="1" customHeight="1" x14ac:dyDescent="0.25">
      <c r="A520"/>
      <c r="B520" s="424" t="s">
        <v>4</v>
      </c>
      <c r="C520" s="133" t="s">
        <v>65</v>
      </c>
      <c r="D520" s="131">
        <v>0</v>
      </c>
      <c r="E520" s="131">
        <v>0</v>
      </c>
      <c r="F520" s="131">
        <v>0</v>
      </c>
      <c r="G520" s="131">
        <v>0</v>
      </c>
      <c r="H520" s="131">
        <v>0</v>
      </c>
      <c r="I520" s="131">
        <v>0</v>
      </c>
      <c r="J520" s="131">
        <v>0</v>
      </c>
      <c r="K520" s="131">
        <v>0</v>
      </c>
      <c r="L520" s="131">
        <v>0</v>
      </c>
      <c r="M520" s="131">
        <v>0</v>
      </c>
      <c r="N520" s="131">
        <v>2657</v>
      </c>
      <c r="O520" s="131">
        <v>5972</v>
      </c>
      <c r="P520" s="132">
        <f>SUM(D520:O520)</f>
        <v>8629</v>
      </c>
    </row>
    <row r="521" spans="1:17" ht="9.9" hidden="1" customHeight="1" x14ac:dyDescent="0.25">
      <c r="A521"/>
      <c r="B521" s="425"/>
      <c r="C521" s="28" t="s">
        <v>64</v>
      </c>
      <c r="D521" s="29">
        <v>0</v>
      </c>
      <c r="E521" s="30">
        <v>0</v>
      </c>
      <c r="F521" s="30">
        <v>0</v>
      </c>
      <c r="G521" s="30">
        <v>0</v>
      </c>
      <c r="H521" s="30">
        <v>0</v>
      </c>
      <c r="I521" s="30">
        <v>0</v>
      </c>
      <c r="J521" s="30">
        <v>0</v>
      </c>
      <c r="K521" s="30">
        <v>0</v>
      </c>
      <c r="L521" s="30">
        <v>0</v>
      </c>
      <c r="M521" s="30">
        <v>0</v>
      </c>
      <c r="N521" s="30">
        <v>0</v>
      </c>
      <c r="O521" s="30">
        <v>530</v>
      </c>
      <c r="P521" s="31">
        <f>SUM(D521:O521)</f>
        <v>530</v>
      </c>
    </row>
    <row r="522" spans="1:17" ht="9.9" hidden="1" customHeight="1" thickBot="1" x14ac:dyDescent="0.3">
      <c r="A522"/>
      <c r="B522" s="426"/>
      <c r="C522" s="42" t="s">
        <v>0</v>
      </c>
      <c r="D522" s="43">
        <f t="shared" ref="D522:M522" si="133">SUM(D521:D521)</f>
        <v>0</v>
      </c>
      <c r="E522" s="43">
        <f t="shared" si="133"/>
        <v>0</v>
      </c>
      <c r="F522" s="43">
        <f t="shared" si="133"/>
        <v>0</v>
      </c>
      <c r="G522" s="43">
        <f t="shared" si="133"/>
        <v>0</v>
      </c>
      <c r="H522" s="43">
        <f t="shared" si="133"/>
        <v>0</v>
      </c>
      <c r="I522" s="43">
        <f t="shared" si="133"/>
        <v>0</v>
      </c>
      <c r="J522" s="43">
        <f t="shared" si="133"/>
        <v>0</v>
      </c>
      <c r="K522" s="43">
        <f t="shared" si="133"/>
        <v>0</v>
      </c>
      <c r="L522" s="43">
        <f t="shared" si="133"/>
        <v>0</v>
      </c>
      <c r="M522" s="43">
        <f t="shared" si="133"/>
        <v>0</v>
      </c>
      <c r="N522" s="43">
        <v>2657</v>
      </c>
      <c r="O522" s="43">
        <f>SUM(O520:O521)</f>
        <v>6502</v>
      </c>
      <c r="P522" s="44">
        <f>SUM(P520:P521)</f>
        <v>9159</v>
      </c>
    </row>
    <row r="523" spans="1:17" ht="13.2" hidden="1" customHeight="1" thickBot="1" x14ac:dyDescent="0.3">
      <c r="A523"/>
      <c r="B523" s="440" t="s">
        <v>2</v>
      </c>
      <c r="C523" s="441"/>
      <c r="D523" s="45">
        <f>D508+D513+D519+D516+D522</f>
        <v>50413</v>
      </c>
      <c r="E523" s="45">
        <f t="shared" ref="E523:M523" si="134">E508+E513+E519+E516+E522</f>
        <v>46859</v>
      </c>
      <c r="F523" s="45">
        <f t="shared" si="134"/>
        <v>57965</v>
      </c>
      <c r="G523" s="45">
        <f t="shared" si="134"/>
        <v>63050</v>
      </c>
      <c r="H523" s="45">
        <f t="shared" si="134"/>
        <v>54990</v>
      </c>
      <c r="I523" s="45">
        <f t="shared" si="134"/>
        <v>62802</v>
      </c>
      <c r="J523" s="45">
        <f t="shared" si="134"/>
        <v>59957</v>
      </c>
      <c r="K523" s="45">
        <f t="shared" si="134"/>
        <v>51098</v>
      </c>
      <c r="L523" s="45">
        <f t="shared" si="134"/>
        <v>51954</v>
      </c>
      <c r="M523" s="45">
        <f t="shared" si="134"/>
        <v>67807</v>
      </c>
      <c r="N523" s="45">
        <f>N508+N513+N519+N516+N522</f>
        <v>65166</v>
      </c>
      <c r="O523" s="45">
        <f>O508+O513+O519+O516+O522</f>
        <v>82060</v>
      </c>
      <c r="P523" s="45">
        <f>SUM(P508,P513,P522,P516,P519)</f>
        <v>714121</v>
      </c>
      <c r="Q523" s="114"/>
    </row>
    <row r="524" spans="1:17" ht="13.5" hidden="1" customHeight="1" x14ac:dyDescent="0.25">
      <c r="A524"/>
      <c r="J524" s="115"/>
    </row>
    <row r="525" spans="1:17" ht="9.9" hidden="1" customHeight="1" x14ac:dyDescent="0.25">
      <c r="A525"/>
      <c r="B525" s="81" t="s">
        <v>24</v>
      </c>
      <c r="C525" s="82"/>
      <c r="D525" s="83">
        <f>SUM(D526:D527)</f>
        <v>4357</v>
      </c>
      <c r="E525" s="83">
        <f t="shared" ref="E525:O525" si="135">SUM(E526:E527)</f>
        <v>6717</v>
      </c>
      <c r="F525" s="83">
        <f t="shared" si="135"/>
        <v>7239</v>
      </c>
      <c r="G525" s="83">
        <f t="shared" si="135"/>
        <v>7775</v>
      </c>
      <c r="H525" s="83">
        <f t="shared" si="135"/>
        <v>6620</v>
      </c>
      <c r="I525" s="83">
        <f t="shared" si="135"/>
        <v>7023</v>
      </c>
      <c r="J525" s="83">
        <f t="shared" si="135"/>
        <v>6891</v>
      </c>
      <c r="K525" s="83">
        <f t="shared" si="135"/>
        <v>8806</v>
      </c>
      <c r="L525" s="83">
        <f t="shared" si="135"/>
        <v>8583</v>
      </c>
      <c r="M525" s="83">
        <f t="shared" si="135"/>
        <v>12838</v>
      </c>
      <c r="N525" s="83">
        <f t="shared" si="135"/>
        <v>10119</v>
      </c>
      <c r="O525" s="83">
        <f t="shared" si="135"/>
        <v>13454</v>
      </c>
      <c r="P525" s="84">
        <f>SUM(P526:P527)</f>
        <v>100422</v>
      </c>
    </row>
    <row r="526" spans="1:17" ht="9.9" hidden="1" customHeight="1" x14ac:dyDescent="0.25">
      <c r="A526"/>
      <c r="B526" s="85"/>
      <c r="C526" s="86" t="s">
        <v>28</v>
      </c>
      <c r="D526" s="99">
        <v>4357</v>
      </c>
      <c r="E526" s="99">
        <v>6717</v>
      </c>
      <c r="F526" s="87">
        <v>7239</v>
      </c>
      <c r="G526" s="100">
        <v>7775</v>
      </c>
      <c r="H526" s="87">
        <v>6620</v>
      </c>
      <c r="I526" s="97">
        <v>7023</v>
      </c>
      <c r="J526" s="97">
        <v>6891</v>
      </c>
      <c r="K526" s="87">
        <v>8806</v>
      </c>
      <c r="L526" s="87">
        <v>2916</v>
      </c>
      <c r="M526" s="87">
        <v>207</v>
      </c>
      <c r="N526" s="87">
        <v>19</v>
      </c>
      <c r="O526" s="87">
        <v>3</v>
      </c>
      <c r="P526" s="88">
        <f>SUM(D526:O526)</f>
        <v>58573</v>
      </c>
    </row>
    <row r="527" spans="1:17" ht="9.9" hidden="1" customHeight="1" x14ac:dyDescent="0.25">
      <c r="A527"/>
      <c r="B527" s="89"/>
      <c r="C527" s="86" t="s">
        <v>61</v>
      </c>
      <c r="D527" s="99">
        <v>0</v>
      </c>
      <c r="E527" s="99">
        <v>0</v>
      </c>
      <c r="F527" s="87">
        <v>0</v>
      </c>
      <c r="G527" s="100">
        <v>0</v>
      </c>
      <c r="H527" s="87">
        <v>0</v>
      </c>
      <c r="I527" s="97">
        <v>0</v>
      </c>
      <c r="J527" s="98">
        <v>0</v>
      </c>
      <c r="K527" s="90">
        <v>0</v>
      </c>
      <c r="L527" s="90">
        <v>5667</v>
      </c>
      <c r="M527" s="90">
        <v>12631</v>
      </c>
      <c r="N527" s="90">
        <v>10100</v>
      </c>
      <c r="O527" s="90">
        <v>13451</v>
      </c>
      <c r="P527" s="88">
        <f>SUM(D527:O527)</f>
        <v>41849</v>
      </c>
    </row>
    <row r="528" spans="1:17" ht="6" hidden="1" customHeight="1" x14ac:dyDescent="0.25">
      <c r="A528"/>
      <c r="G528" s="91"/>
      <c r="L528" s="91"/>
      <c r="P528" s="46"/>
      <c r="Q528"/>
    </row>
    <row r="529" spans="1:17" ht="13.5" hidden="1" customHeight="1" x14ac:dyDescent="0.25">
      <c r="A529"/>
      <c r="B529" s="92" t="s">
        <v>25</v>
      </c>
      <c r="C529" s="93"/>
      <c r="D529" s="83">
        <f t="shared" ref="D529:P529" si="136">SUM(D530:D532)</f>
        <v>6907</v>
      </c>
      <c r="E529" s="83">
        <f t="shared" si="136"/>
        <v>7306</v>
      </c>
      <c r="F529" s="83">
        <f t="shared" si="136"/>
        <v>8556</v>
      </c>
      <c r="G529" s="83">
        <f t="shared" si="136"/>
        <v>8446</v>
      </c>
      <c r="H529" s="83">
        <f t="shared" si="136"/>
        <v>9495</v>
      </c>
      <c r="I529" s="83">
        <f t="shared" si="136"/>
        <v>9604</v>
      </c>
      <c r="J529" s="83">
        <f t="shared" si="136"/>
        <v>8380</v>
      </c>
      <c r="K529" s="83">
        <f t="shared" si="136"/>
        <v>8218</v>
      </c>
      <c r="L529" s="83">
        <f t="shared" si="136"/>
        <v>8033</v>
      </c>
      <c r="M529" s="83">
        <f t="shared" si="136"/>
        <v>10487</v>
      </c>
      <c r="N529" s="83">
        <f t="shared" si="136"/>
        <v>10328</v>
      </c>
      <c r="O529" s="83">
        <f t="shared" si="136"/>
        <v>12678</v>
      </c>
      <c r="P529" s="83">
        <f t="shared" si="136"/>
        <v>108438</v>
      </c>
      <c r="Q529"/>
    </row>
    <row r="530" spans="1:17" ht="9.9" hidden="1" customHeight="1" x14ac:dyDescent="0.25">
      <c r="A530"/>
      <c r="B530" s="85"/>
      <c r="C530" s="86" t="s">
        <v>26</v>
      </c>
      <c r="D530" s="87">
        <v>895</v>
      </c>
      <c r="E530" s="87">
        <v>864</v>
      </c>
      <c r="F530" s="87">
        <v>913</v>
      </c>
      <c r="G530" s="87">
        <v>829</v>
      </c>
      <c r="H530" s="87">
        <v>727</v>
      </c>
      <c r="I530" s="87">
        <v>683</v>
      </c>
      <c r="J530" s="87">
        <v>608</v>
      </c>
      <c r="K530" s="87">
        <v>581</v>
      </c>
      <c r="L530" s="87">
        <v>626</v>
      </c>
      <c r="M530" s="87">
        <v>763</v>
      </c>
      <c r="N530" s="87">
        <v>586</v>
      </c>
      <c r="O530" s="87">
        <v>694</v>
      </c>
      <c r="P530" s="88">
        <f>SUM(D530:O530)</f>
        <v>8769</v>
      </c>
      <c r="Q530"/>
    </row>
    <row r="531" spans="1:17" ht="9.9" hidden="1" customHeight="1" x14ac:dyDescent="0.25">
      <c r="A531"/>
      <c r="B531" s="85"/>
      <c r="C531" s="86" t="s">
        <v>52</v>
      </c>
      <c r="D531" s="122">
        <v>4756</v>
      </c>
      <c r="E531" s="122">
        <v>5288</v>
      </c>
      <c r="F531" s="122">
        <v>6732</v>
      </c>
      <c r="G531" s="87">
        <v>6598</v>
      </c>
      <c r="H531" s="87">
        <v>7509</v>
      </c>
      <c r="I531" s="87">
        <v>7666</v>
      </c>
      <c r="J531" s="87">
        <v>6982</v>
      </c>
      <c r="K531" s="87">
        <v>6947</v>
      </c>
      <c r="L531" s="87">
        <v>6830</v>
      </c>
      <c r="M531" s="87">
        <v>9061</v>
      </c>
      <c r="N531" s="87">
        <v>8827</v>
      </c>
      <c r="O531" s="87">
        <v>10736</v>
      </c>
      <c r="P531" s="88">
        <f>SUM(D531:O531)</f>
        <v>87932</v>
      </c>
      <c r="Q531"/>
    </row>
    <row r="532" spans="1:17" ht="9" hidden="1" customHeight="1" x14ac:dyDescent="0.25">
      <c r="A532"/>
      <c r="B532" s="89"/>
      <c r="C532" s="128" t="s">
        <v>56</v>
      </c>
      <c r="D532" s="122">
        <v>1256</v>
      </c>
      <c r="E532" s="122">
        <v>1154</v>
      </c>
      <c r="F532" s="122">
        <v>911</v>
      </c>
      <c r="G532" s="122">
        <v>1019</v>
      </c>
      <c r="H532" s="122">
        <v>1259</v>
      </c>
      <c r="I532" s="122">
        <v>1255</v>
      </c>
      <c r="J532" s="122">
        <v>790</v>
      </c>
      <c r="K532" s="122">
        <v>690</v>
      </c>
      <c r="L532" s="122">
        <v>577</v>
      </c>
      <c r="M532" s="122">
        <v>663</v>
      </c>
      <c r="N532" s="122">
        <v>915</v>
      </c>
      <c r="O532" s="90">
        <v>1248</v>
      </c>
      <c r="P532" s="88">
        <f>SUM(D532:O532)</f>
        <v>11737</v>
      </c>
      <c r="Q532"/>
    </row>
    <row r="533" spans="1:17" ht="14.25" hidden="1" customHeight="1" x14ac:dyDescent="0.25">
      <c r="A533"/>
      <c r="B533" s="101"/>
      <c r="C533" s="94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6"/>
      <c r="Q533"/>
    </row>
    <row r="534" spans="1:17" ht="11.25" hidden="1" customHeight="1" x14ac:dyDescent="0.25">
      <c r="A534"/>
      <c r="B534" s="81" t="s">
        <v>27</v>
      </c>
      <c r="C534" s="82"/>
      <c r="D534" s="83">
        <f>SUM(D535:D536)</f>
        <v>6513</v>
      </c>
      <c r="E534" s="83">
        <f t="shared" ref="E534:O534" si="137">SUM(E535:E536)</f>
        <v>6369</v>
      </c>
      <c r="F534" s="83">
        <f t="shared" si="137"/>
        <v>7037</v>
      </c>
      <c r="G534" s="83">
        <f t="shared" si="137"/>
        <v>7911</v>
      </c>
      <c r="H534" s="83">
        <f t="shared" si="137"/>
        <v>6609</v>
      </c>
      <c r="I534" s="83">
        <f t="shared" si="137"/>
        <v>7150</v>
      </c>
      <c r="J534" s="83">
        <f t="shared" si="137"/>
        <v>7044</v>
      </c>
      <c r="K534" s="83">
        <f t="shared" si="137"/>
        <v>6062</v>
      </c>
      <c r="L534" s="83">
        <f t="shared" si="137"/>
        <v>6273</v>
      </c>
      <c r="M534" s="83">
        <f t="shared" si="137"/>
        <v>6834</v>
      </c>
      <c r="N534" s="83">
        <f t="shared" si="137"/>
        <v>8180</v>
      </c>
      <c r="O534" s="83">
        <f t="shared" si="137"/>
        <v>11200</v>
      </c>
      <c r="P534" s="84">
        <f>SUM(P535:P536)</f>
        <v>87182</v>
      </c>
      <c r="Q534"/>
    </row>
    <row r="535" spans="1:17" ht="11.25" hidden="1" customHeight="1" x14ac:dyDescent="0.25">
      <c r="A535"/>
      <c r="B535" s="85"/>
      <c r="C535" s="86" t="s">
        <v>51</v>
      </c>
      <c r="D535" s="99">
        <v>5559</v>
      </c>
      <c r="E535" s="99">
        <v>5625</v>
      </c>
      <c r="F535" s="87">
        <v>6225</v>
      </c>
      <c r="G535" s="100">
        <v>6931</v>
      </c>
      <c r="H535" s="87">
        <v>5847</v>
      </c>
      <c r="I535" s="97">
        <v>6211</v>
      </c>
      <c r="J535" s="97">
        <v>6174</v>
      </c>
      <c r="K535" s="87">
        <v>5431</v>
      </c>
      <c r="L535" s="87">
        <v>5616</v>
      </c>
      <c r="M535" s="87">
        <v>6010</v>
      </c>
      <c r="N535" s="87">
        <v>7053</v>
      </c>
      <c r="O535" s="87">
        <v>9641</v>
      </c>
      <c r="P535" s="88">
        <f>SUM(D535:O535)</f>
        <v>76323</v>
      </c>
      <c r="Q535"/>
    </row>
    <row r="536" spans="1:17" ht="11.4" hidden="1" customHeight="1" x14ac:dyDescent="0.25">
      <c r="A536"/>
      <c r="B536" s="89"/>
      <c r="C536" s="86" t="s">
        <v>23</v>
      </c>
      <c r="D536" s="99">
        <v>954</v>
      </c>
      <c r="E536" s="99">
        <v>744</v>
      </c>
      <c r="F536" s="87">
        <v>812</v>
      </c>
      <c r="G536" s="100">
        <v>980</v>
      </c>
      <c r="H536" s="87">
        <v>762</v>
      </c>
      <c r="I536" s="97">
        <v>939</v>
      </c>
      <c r="J536" s="98">
        <v>870</v>
      </c>
      <c r="K536" s="90">
        <v>631</v>
      </c>
      <c r="L536" s="90">
        <v>657</v>
      </c>
      <c r="M536" s="90">
        <v>824</v>
      </c>
      <c r="N536" s="90">
        <v>1127</v>
      </c>
      <c r="O536" s="90">
        <v>1559</v>
      </c>
      <c r="P536" s="88">
        <f>SUM(D536:O536)</f>
        <v>10859</v>
      </c>
      <c r="Q536"/>
    </row>
    <row r="537" spans="1:17" ht="7.2" hidden="1" customHeight="1" x14ac:dyDescent="0.25">
      <c r="A537"/>
      <c r="B537" s="101"/>
      <c r="C537" s="94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6"/>
    </row>
    <row r="538" spans="1:17" hidden="1" x14ac:dyDescent="0.25">
      <c r="A538"/>
      <c r="B538" s="81" t="s">
        <v>59</v>
      </c>
      <c r="C538" s="82"/>
      <c r="D538" s="83">
        <f>SUM(D539:D540)</f>
        <v>2621</v>
      </c>
      <c r="E538" s="83">
        <f t="shared" ref="E538:O538" si="138">SUM(E539:E540)</f>
        <v>1751</v>
      </c>
      <c r="F538" s="83">
        <f t="shared" si="138"/>
        <v>4389</v>
      </c>
      <c r="G538" s="83">
        <f t="shared" si="138"/>
        <v>9255</v>
      </c>
      <c r="H538" s="83">
        <f t="shared" si="138"/>
        <v>7270</v>
      </c>
      <c r="I538" s="83">
        <f t="shared" si="138"/>
        <v>4929</v>
      </c>
      <c r="J538" s="83">
        <f t="shared" si="138"/>
        <v>4209</v>
      </c>
      <c r="K538" s="83">
        <f t="shared" si="138"/>
        <v>2920</v>
      </c>
      <c r="L538" s="83">
        <f t="shared" si="138"/>
        <v>3237</v>
      </c>
      <c r="M538" s="83">
        <f t="shared" si="138"/>
        <v>5574</v>
      </c>
      <c r="N538" s="83">
        <f t="shared" si="138"/>
        <v>5520</v>
      </c>
      <c r="O538" s="83">
        <f t="shared" si="138"/>
        <v>5736</v>
      </c>
      <c r="P538" s="84">
        <f>SUM(P539:P540)</f>
        <v>57411</v>
      </c>
    </row>
    <row r="539" spans="1:17" ht="10.199999999999999" hidden="1" customHeight="1" x14ac:dyDescent="0.25">
      <c r="A539"/>
      <c r="B539" s="85"/>
      <c r="C539" s="86" t="s">
        <v>7</v>
      </c>
      <c r="D539" s="99">
        <v>2621</v>
      </c>
      <c r="E539" s="99">
        <v>1751</v>
      </c>
      <c r="F539" s="87">
        <v>1494</v>
      </c>
      <c r="G539" s="100">
        <v>618</v>
      </c>
      <c r="H539" s="87">
        <v>1075</v>
      </c>
      <c r="I539" s="97">
        <v>232</v>
      </c>
      <c r="J539" s="97">
        <v>4</v>
      </c>
      <c r="K539" s="87">
        <v>1</v>
      </c>
      <c r="L539" s="87">
        <v>17</v>
      </c>
      <c r="M539" s="87" t="s">
        <v>53</v>
      </c>
      <c r="N539" s="87">
        <v>0</v>
      </c>
      <c r="O539" s="87">
        <v>12</v>
      </c>
      <c r="P539" s="88">
        <f>SUM(D539:O539)</f>
        <v>7825</v>
      </c>
    </row>
    <row r="540" spans="1:17" ht="12" hidden="1" customHeight="1" x14ac:dyDescent="0.25">
      <c r="A540"/>
      <c r="B540" s="89"/>
      <c r="C540" s="86" t="s">
        <v>60</v>
      </c>
      <c r="D540" s="99" t="s">
        <v>53</v>
      </c>
      <c r="E540" s="99" t="s">
        <v>53</v>
      </c>
      <c r="F540" s="87">
        <v>2895</v>
      </c>
      <c r="G540" s="100">
        <v>8637</v>
      </c>
      <c r="H540" s="87">
        <v>6195</v>
      </c>
      <c r="I540" s="97">
        <v>4697</v>
      </c>
      <c r="J540" s="98">
        <v>4205</v>
      </c>
      <c r="K540" s="90">
        <v>2919</v>
      </c>
      <c r="L540" s="90">
        <v>3220</v>
      </c>
      <c r="M540" s="90">
        <v>5574</v>
      </c>
      <c r="N540" s="90">
        <v>5520</v>
      </c>
      <c r="O540" s="90">
        <v>5724</v>
      </c>
      <c r="P540" s="88">
        <f>SUM(D540:O540)</f>
        <v>49586</v>
      </c>
    </row>
    <row r="541" spans="1:17" hidden="1" x14ac:dyDescent="0.25">
      <c r="A541"/>
    </row>
    <row r="542" spans="1:17" ht="15" hidden="1" thickBot="1" x14ac:dyDescent="0.3">
      <c r="B542" s="18" t="s">
        <v>198</v>
      </c>
      <c r="C542" s="18"/>
    </row>
    <row r="543" spans="1:17" ht="12.75" hidden="1" customHeight="1" thickBot="1" x14ac:dyDescent="0.3">
      <c r="B543" s="435" t="s">
        <v>1</v>
      </c>
      <c r="C543" s="436"/>
      <c r="D543" s="21">
        <v>1</v>
      </c>
      <c r="E543" s="22">
        <v>2</v>
      </c>
      <c r="F543" s="22">
        <v>3</v>
      </c>
      <c r="G543" s="22">
        <v>4</v>
      </c>
      <c r="H543" s="22">
        <v>5</v>
      </c>
      <c r="I543" s="22">
        <v>6</v>
      </c>
      <c r="J543" s="22">
        <v>7</v>
      </c>
      <c r="K543" s="22">
        <v>8</v>
      </c>
      <c r="L543" s="22">
        <v>9</v>
      </c>
      <c r="M543" s="22">
        <v>10</v>
      </c>
      <c r="N543" s="22">
        <v>11</v>
      </c>
      <c r="O543" s="22">
        <v>12</v>
      </c>
      <c r="P543" s="23" t="s">
        <v>0</v>
      </c>
    </row>
    <row r="544" spans="1:17" ht="12.75" hidden="1" customHeight="1" x14ac:dyDescent="0.25">
      <c r="B544" s="437" t="s">
        <v>45</v>
      </c>
      <c r="C544" s="38" t="s">
        <v>21</v>
      </c>
      <c r="D544" s="39">
        <v>1943</v>
      </c>
      <c r="E544" s="40">
        <v>1875</v>
      </c>
      <c r="F544" s="39">
        <v>2231</v>
      </c>
      <c r="G544" s="40">
        <v>2048</v>
      </c>
      <c r="H544" s="40">
        <v>1931</v>
      </c>
      <c r="I544" s="40">
        <v>1714</v>
      </c>
      <c r="J544" s="40">
        <v>2090</v>
      </c>
      <c r="K544" s="40">
        <v>1685</v>
      </c>
      <c r="L544" s="40">
        <v>1797</v>
      </c>
      <c r="M544" s="40">
        <v>1867</v>
      </c>
      <c r="N544" s="40">
        <v>1823</v>
      </c>
      <c r="O544" s="40">
        <v>2205</v>
      </c>
      <c r="P544" s="41">
        <f>SUM(D544:O544)</f>
        <v>23209</v>
      </c>
      <c r="Q544" s="337"/>
    </row>
    <row r="545" spans="2:17" ht="12.75" hidden="1" customHeight="1" x14ac:dyDescent="0.25">
      <c r="B545" s="438"/>
      <c r="C545" s="74" t="s">
        <v>22</v>
      </c>
      <c r="D545" s="75">
        <v>91</v>
      </c>
      <c r="E545" s="76">
        <v>150</v>
      </c>
      <c r="F545" s="75">
        <v>172</v>
      </c>
      <c r="G545" s="76">
        <v>203</v>
      </c>
      <c r="H545" s="76">
        <v>171</v>
      </c>
      <c r="I545" s="76">
        <v>151</v>
      </c>
      <c r="J545" s="76">
        <v>190</v>
      </c>
      <c r="K545" s="76">
        <v>126</v>
      </c>
      <c r="L545" s="76">
        <v>114</v>
      </c>
      <c r="M545" s="76">
        <v>136</v>
      </c>
      <c r="N545" s="76">
        <v>107</v>
      </c>
      <c r="O545" s="76">
        <v>169</v>
      </c>
      <c r="P545" s="77">
        <f t="shared" ref="P545:P554" si="139">SUM(D545:O545)</f>
        <v>1780</v>
      </c>
    </row>
    <row r="546" spans="2:17" ht="12.75" hidden="1" customHeight="1" x14ac:dyDescent="0.25">
      <c r="B546" s="438"/>
      <c r="C546" s="74" t="s">
        <v>24</v>
      </c>
      <c r="D546" s="75">
        <f>D569</f>
        <v>5154</v>
      </c>
      <c r="E546" s="75">
        <v>6479</v>
      </c>
      <c r="F546" s="75">
        <v>7578</v>
      </c>
      <c r="G546" s="75">
        <v>6878</v>
      </c>
      <c r="H546" s="75">
        <v>7286</v>
      </c>
      <c r="I546" s="75">
        <v>7260</v>
      </c>
      <c r="J546" s="75">
        <v>7508</v>
      </c>
      <c r="K546" s="75">
        <v>8194</v>
      </c>
      <c r="L546" s="75">
        <v>8738</v>
      </c>
      <c r="M546" s="75">
        <v>8779</v>
      </c>
      <c r="N546" s="75">
        <v>8006</v>
      </c>
      <c r="O546" s="75">
        <v>12035</v>
      </c>
      <c r="P546" s="77">
        <f t="shared" si="139"/>
        <v>93895</v>
      </c>
    </row>
    <row r="547" spans="2:17" ht="12.75" hidden="1" customHeight="1" x14ac:dyDescent="0.25">
      <c r="B547" s="438"/>
      <c r="C547" s="28" t="s">
        <v>3</v>
      </c>
      <c r="D547" s="29">
        <v>610</v>
      </c>
      <c r="E547" s="30">
        <v>742</v>
      </c>
      <c r="F547" s="29">
        <v>883</v>
      </c>
      <c r="G547" s="30">
        <v>676</v>
      </c>
      <c r="H547" s="30">
        <v>531</v>
      </c>
      <c r="I547" s="30">
        <v>657</v>
      </c>
      <c r="J547" s="30">
        <v>666</v>
      </c>
      <c r="K547" s="30">
        <v>601</v>
      </c>
      <c r="L547" s="30">
        <v>422</v>
      </c>
      <c r="M547" s="30">
        <v>401</v>
      </c>
      <c r="N547" s="30">
        <v>220</v>
      </c>
      <c r="O547" s="30">
        <v>251</v>
      </c>
      <c r="P547" s="77">
        <f t="shared" si="139"/>
        <v>6660</v>
      </c>
    </row>
    <row r="548" spans="2:17" ht="12.75" hidden="1" customHeight="1" x14ac:dyDescent="0.25">
      <c r="B548" s="438"/>
      <c r="C548" s="72" t="s">
        <v>25</v>
      </c>
      <c r="D548" s="73">
        <f>D573</f>
        <v>5117</v>
      </c>
      <c r="E548" s="73">
        <v>5083</v>
      </c>
      <c r="F548" s="73">
        <v>4713</v>
      </c>
      <c r="G548" s="73">
        <v>15392</v>
      </c>
      <c r="H548" s="73">
        <v>13687</v>
      </c>
      <c r="I548" s="73">
        <v>10793</v>
      </c>
      <c r="J548" s="73">
        <v>10035</v>
      </c>
      <c r="K548" s="73">
        <v>7307</v>
      </c>
      <c r="L548" s="73">
        <v>8287</v>
      </c>
      <c r="M548" s="73">
        <f>M573</f>
        <v>8071</v>
      </c>
      <c r="N548" s="73">
        <v>7631</v>
      </c>
      <c r="O548" s="73">
        <v>11898</v>
      </c>
      <c r="P548" s="77">
        <f t="shared" si="139"/>
        <v>108014</v>
      </c>
    </row>
    <row r="549" spans="2:17" ht="12.75" hidden="1" customHeight="1" x14ac:dyDescent="0.25">
      <c r="B549" s="438"/>
      <c r="C549" s="72" t="s">
        <v>43</v>
      </c>
      <c r="D549" s="73">
        <v>169</v>
      </c>
      <c r="E549" s="73">
        <v>235</v>
      </c>
      <c r="F549" s="73">
        <v>221</v>
      </c>
      <c r="G549" s="73">
        <v>216</v>
      </c>
      <c r="H549" s="73">
        <v>240</v>
      </c>
      <c r="I549" s="73">
        <v>303</v>
      </c>
      <c r="J549" s="73">
        <v>304</v>
      </c>
      <c r="K549" s="73">
        <v>252</v>
      </c>
      <c r="L549" s="73">
        <v>317</v>
      </c>
      <c r="M549" s="73">
        <v>305</v>
      </c>
      <c r="N549" s="73">
        <v>315</v>
      </c>
      <c r="O549" s="73">
        <v>454</v>
      </c>
      <c r="P549" s="77">
        <f t="shared" si="139"/>
        <v>3331</v>
      </c>
    </row>
    <row r="550" spans="2:17" ht="12.75" hidden="1" customHeight="1" x14ac:dyDescent="0.25">
      <c r="B550" s="438"/>
      <c r="C550" s="72" t="s">
        <v>27</v>
      </c>
      <c r="D550" s="73">
        <f>D580</f>
        <v>8134</v>
      </c>
      <c r="E550" s="73">
        <v>7496</v>
      </c>
      <c r="F550" s="73">
        <v>8003</v>
      </c>
      <c r="G550" s="73">
        <v>7413</v>
      </c>
      <c r="H550" s="73">
        <v>6236</v>
      </c>
      <c r="I550" s="73">
        <v>6769</v>
      </c>
      <c r="J550" s="73">
        <v>8982</v>
      </c>
      <c r="K550" s="73">
        <v>6784</v>
      </c>
      <c r="L550" s="73">
        <v>6210</v>
      </c>
      <c r="M550" s="73">
        <v>7169</v>
      </c>
      <c r="N550" s="73">
        <v>7449</v>
      </c>
      <c r="O550" s="73">
        <v>12564</v>
      </c>
      <c r="P550" s="77">
        <f t="shared" si="139"/>
        <v>93209</v>
      </c>
    </row>
    <row r="551" spans="2:17" ht="12.75" hidden="1" customHeight="1" x14ac:dyDescent="0.25">
      <c r="B551" s="438"/>
      <c r="C551" s="74" t="s">
        <v>55</v>
      </c>
      <c r="D551" s="75"/>
      <c r="E551" s="338" t="s">
        <v>53</v>
      </c>
      <c r="F551" s="338" t="s">
        <v>53</v>
      </c>
      <c r="G551" s="338" t="s">
        <v>53</v>
      </c>
      <c r="H551" s="338" t="s">
        <v>53</v>
      </c>
      <c r="I551" s="338" t="s">
        <v>53</v>
      </c>
      <c r="J551" s="338" t="s">
        <v>53</v>
      </c>
      <c r="K551" s="338" t="s">
        <v>53</v>
      </c>
      <c r="L551" s="338" t="s">
        <v>53</v>
      </c>
      <c r="M551" s="75">
        <v>239</v>
      </c>
      <c r="N551" s="75">
        <v>1320</v>
      </c>
      <c r="O551" s="75">
        <v>992</v>
      </c>
      <c r="P551" s="77">
        <f t="shared" si="139"/>
        <v>2551</v>
      </c>
    </row>
    <row r="552" spans="2:17" ht="12.75" hidden="1" customHeight="1" x14ac:dyDescent="0.25">
      <c r="B552" s="438"/>
      <c r="C552" s="28" t="s">
        <v>4</v>
      </c>
      <c r="D552" s="29">
        <v>3728</v>
      </c>
      <c r="E552" s="30">
        <v>4164</v>
      </c>
      <c r="F552" s="29">
        <v>3187</v>
      </c>
      <c r="G552" s="30">
        <v>2966</v>
      </c>
      <c r="H552" s="30">
        <v>2730</v>
      </c>
      <c r="I552" s="30">
        <v>3605</v>
      </c>
      <c r="J552" s="30">
        <v>3047</v>
      </c>
      <c r="K552" s="30">
        <v>2116</v>
      </c>
      <c r="L552" s="30">
        <v>2053</v>
      </c>
      <c r="M552" s="30">
        <v>3631</v>
      </c>
      <c r="N552" s="30">
        <v>2527</v>
      </c>
      <c r="O552" s="30">
        <v>2957</v>
      </c>
      <c r="P552" s="77">
        <f t="shared" si="139"/>
        <v>36711</v>
      </c>
    </row>
    <row r="553" spans="2:17" ht="12.75" hidden="1" customHeight="1" x14ac:dyDescent="0.25">
      <c r="B553" s="438"/>
      <c r="C553" s="28" t="s">
        <v>5</v>
      </c>
      <c r="D553" s="29">
        <v>34</v>
      </c>
      <c r="E553" s="30">
        <v>31</v>
      </c>
      <c r="F553" s="29">
        <v>41</v>
      </c>
      <c r="G553" s="30">
        <v>31</v>
      </c>
      <c r="H553" s="30">
        <v>29</v>
      </c>
      <c r="I553" s="30">
        <v>19</v>
      </c>
      <c r="J553" s="30">
        <v>38</v>
      </c>
      <c r="K553" s="30">
        <v>24</v>
      </c>
      <c r="L553" s="30">
        <v>24</v>
      </c>
      <c r="M553" s="30">
        <v>26</v>
      </c>
      <c r="N553" s="30">
        <v>18</v>
      </c>
      <c r="O553" s="30">
        <v>15</v>
      </c>
      <c r="P553" s="77">
        <f t="shared" si="139"/>
        <v>330</v>
      </c>
    </row>
    <row r="554" spans="2:17" ht="12.75" hidden="1" customHeight="1" x14ac:dyDescent="0.25">
      <c r="B554" s="438"/>
      <c r="C554" s="28" t="s">
        <v>6</v>
      </c>
      <c r="D554" s="29">
        <v>962</v>
      </c>
      <c r="E554" s="30">
        <v>843</v>
      </c>
      <c r="F554" s="29">
        <v>892</v>
      </c>
      <c r="G554" s="30">
        <v>928</v>
      </c>
      <c r="H554" s="30">
        <v>786</v>
      </c>
      <c r="I554" s="30">
        <v>683</v>
      </c>
      <c r="J554" s="30">
        <v>792</v>
      </c>
      <c r="K554" s="30">
        <v>596</v>
      </c>
      <c r="L554" s="30">
        <v>539</v>
      </c>
      <c r="M554" s="30">
        <v>556</v>
      </c>
      <c r="N554" s="30">
        <v>474</v>
      </c>
      <c r="O554" s="30">
        <v>436</v>
      </c>
      <c r="P554" s="77">
        <f t="shared" si="139"/>
        <v>8487</v>
      </c>
    </row>
    <row r="555" spans="2:17" ht="12.75" hidden="1" customHeight="1" thickBot="1" x14ac:dyDescent="0.3">
      <c r="B555" s="431"/>
      <c r="C555" s="42" t="s">
        <v>0</v>
      </c>
      <c r="D555" s="43">
        <f t="shared" ref="D555:L555" si="140">SUM(D544:D554)</f>
        <v>25942</v>
      </c>
      <c r="E555" s="43">
        <f t="shared" si="140"/>
        <v>27098</v>
      </c>
      <c r="F555" s="43">
        <f t="shared" si="140"/>
        <v>27921</v>
      </c>
      <c r="G555" s="43">
        <f t="shared" si="140"/>
        <v>36751</v>
      </c>
      <c r="H555" s="43">
        <f t="shared" si="140"/>
        <v>33627</v>
      </c>
      <c r="I555" s="43">
        <f t="shared" si="140"/>
        <v>31954</v>
      </c>
      <c r="J555" s="43">
        <f t="shared" si="140"/>
        <v>33652</v>
      </c>
      <c r="K555" s="43">
        <f t="shared" si="140"/>
        <v>27685</v>
      </c>
      <c r="L555" s="43">
        <f t="shared" si="140"/>
        <v>28501</v>
      </c>
      <c r="M555" s="43">
        <f>SUM(M544:M554)</f>
        <v>31180</v>
      </c>
      <c r="N555" s="43">
        <f>SUM(N544:N554)</f>
        <v>29890</v>
      </c>
      <c r="O555" s="43">
        <f>SUM(O544:O554)</f>
        <v>43976</v>
      </c>
      <c r="P555" s="44">
        <f>SUM(P544:P554)</f>
        <v>378177</v>
      </c>
    </row>
    <row r="556" spans="2:17" ht="12.75" hidden="1" customHeight="1" x14ac:dyDescent="0.25">
      <c r="B556" s="433" t="s">
        <v>44</v>
      </c>
      <c r="C556" s="24" t="s">
        <v>7</v>
      </c>
      <c r="D556" s="25">
        <v>3501</v>
      </c>
      <c r="E556" s="26">
        <v>3455</v>
      </c>
      <c r="F556" s="26">
        <v>3747</v>
      </c>
      <c r="G556" s="26">
        <v>3486</v>
      </c>
      <c r="H556" s="26">
        <v>3723</v>
      </c>
      <c r="I556" s="26">
        <v>3856</v>
      </c>
      <c r="J556" s="26">
        <v>4194</v>
      </c>
      <c r="K556" s="26">
        <v>3367</v>
      </c>
      <c r="L556" s="26">
        <v>2738</v>
      </c>
      <c r="M556" s="26">
        <v>3789</v>
      </c>
      <c r="N556" s="26">
        <v>2912</v>
      </c>
      <c r="O556" s="26">
        <v>2987</v>
      </c>
      <c r="P556" s="41">
        <f>SUM(D556:O556)</f>
        <v>41755</v>
      </c>
    </row>
    <row r="557" spans="2:17" ht="12.75" hidden="1" customHeight="1" x14ac:dyDescent="0.25">
      <c r="B557" s="433"/>
      <c r="C557" s="28" t="s">
        <v>8</v>
      </c>
      <c r="D557" s="29">
        <v>7160</v>
      </c>
      <c r="E557" s="30">
        <v>6102</v>
      </c>
      <c r="F557" s="30">
        <v>7737</v>
      </c>
      <c r="G557" s="30">
        <v>7785</v>
      </c>
      <c r="H557" s="30">
        <v>7406</v>
      </c>
      <c r="I557" s="30">
        <v>7813</v>
      </c>
      <c r="J557" s="30">
        <v>6051</v>
      </c>
      <c r="K557" s="30">
        <v>4901</v>
      </c>
      <c r="L557" s="30">
        <v>4987</v>
      </c>
      <c r="M557" s="30">
        <v>6102</v>
      </c>
      <c r="N557" s="30">
        <v>6053</v>
      </c>
      <c r="O557" s="30">
        <v>5592</v>
      </c>
      <c r="P557" s="77">
        <f>SUM(D557:O557)</f>
        <v>77689</v>
      </c>
    </row>
    <row r="558" spans="2:17" ht="12.75" hidden="1" customHeight="1" x14ac:dyDescent="0.25">
      <c r="B558" s="433"/>
      <c r="C558" s="28" t="s">
        <v>54</v>
      </c>
      <c r="D558" s="29">
        <v>309</v>
      </c>
      <c r="E558" s="30">
        <v>320</v>
      </c>
      <c r="F558" s="30">
        <v>307</v>
      </c>
      <c r="G558" s="30">
        <v>289</v>
      </c>
      <c r="H558" s="30">
        <v>363</v>
      </c>
      <c r="I558" s="30">
        <v>430</v>
      </c>
      <c r="J558" s="30">
        <v>532</v>
      </c>
      <c r="K558" s="30">
        <v>494</v>
      </c>
      <c r="L558" s="30">
        <v>408</v>
      </c>
      <c r="M558" s="30">
        <v>558</v>
      </c>
      <c r="N558" s="30">
        <v>403</v>
      </c>
      <c r="O558" s="30">
        <v>415</v>
      </c>
      <c r="P558" s="77">
        <f>SUM(D558:O558)</f>
        <v>4828</v>
      </c>
    </row>
    <row r="559" spans="2:17" ht="12.75" hidden="1" customHeight="1" x14ac:dyDescent="0.25">
      <c r="B559" s="433"/>
      <c r="C559" s="28" t="s">
        <v>50</v>
      </c>
      <c r="D559" s="29">
        <v>920</v>
      </c>
      <c r="E559" s="30">
        <v>886</v>
      </c>
      <c r="F559" s="30">
        <v>1084</v>
      </c>
      <c r="G559" s="30">
        <v>810</v>
      </c>
      <c r="H559" s="30">
        <v>802</v>
      </c>
      <c r="I559" s="30">
        <v>574</v>
      </c>
      <c r="J559" s="30">
        <v>655</v>
      </c>
      <c r="K559" s="30">
        <v>496</v>
      </c>
      <c r="L559" s="30">
        <v>501</v>
      </c>
      <c r="M559" s="30">
        <v>614</v>
      </c>
      <c r="N559" s="30">
        <v>641</v>
      </c>
      <c r="O559" s="30">
        <v>546</v>
      </c>
      <c r="P559" s="31">
        <f>SUM(D559:O559)</f>
        <v>8529</v>
      </c>
    </row>
    <row r="560" spans="2:17" ht="12.75" hidden="1" customHeight="1" thickBot="1" x14ac:dyDescent="0.3">
      <c r="B560" s="439"/>
      <c r="C560" s="35" t="s">
        <v>0</v>
      </c>
      <c r="D560" s="36">
        <f t="shared" ref="D560:P560" si="141">SUM(D556:D559)</f>
        <v>11890</v>
      </c>
      <c r="E560" s="36">
        <f t="shared" si="141"/>
        <v>10763</v>
      </c>
      <c r="F560" s="36">
        <f t="shared" si="141"/>
        <v>12875</v>
      </c>
      <c r="G560" s="36">
        <f t="shared" si="141"/>
        <v>12370</v>
      </c>
      <c r="H560" s="36">
        <f t="shared" si="141"/>
        <v>12294</v>
      </c>
      <c r="I560" s="36">
        <f t="shared" si="141"/>
        <v>12673</v>
      </c>
      <c r="J560" s="36">
        <f t="shared" si="141"/>
        <v>11432</v>
      </c>
      <c r="K560" s="36">
        <f t="shared" si="141"/>
        <v>9258</v>
      </c>
      <c r="L560" s="36">
        <f t="shared" si="141"/>
        <v>8634</v>
      </c>
      <c r="M560" s="36">
        <f t="shared" si="141"/>
        <v>11063</v>
      </c>
      <c r="N560" s="36">
        <f t="shared" si="141"/>
        <v>10009</v>
      </c>
      <c r="O560" s="36">
        <f t="shared" si="141"/>
        <v>9540</v>
      </c>
      <c r="P560" s="37">
        <f t="shared" si="141"/>
        <v>132801</v>
      </c>
      <c r="Q560" s="337"/>
    </row>
    <row r="561" spans="2:17" ht="12.75" hidden="1" customHeight="1" x14ac:dyDescent="0.25">
      <c r="B561" s="429" t="s">
        <v>9</v>
      </c>
      <c r="C561" s="38" t="s">
        <v>11</v>
      </c>
      <c r="D561" s="39">
        <v>3746</v>
      </c>
      <c r="E561" s="40">
        <v>3503</v>
      </c>
      <c r="F561" s="40">
        <v>4824</v>
      </c>
      <c r="G561" s="40">
        <v>4629</v>
      </c>
      <c r="H561" s="40">
        <v>3202</v>
      </c>
      <c r="I561" s="40">
        <v>4255</v>
      </c>
      <c r="J561" s="40">
        <v>3431</v>
      </c>
      <c r="K561" s="40">
        <v>3183</v>
      </c>
      <c r="L561" s="40">
        <v>2496</v>
      </c>
      <c r="M561" s="40">
        <v>4182</v>
      </c>
      <c r="N561" s="40">
        <v>4156</v>
      </c>
      <c r="O561" s="40">
        <v>4035</v>
      </c>
      <c r="P561" s="41">
        <f>SUM(D561:O561)</f>
        <v>45642</v>
      </c>
      <c r="Q561" s="337"/>
    </row>
    <row r="562" spans="2:17" ht="12.75" hidden="1" customHeight="1" x14ac:dyDescent="0.25">
      <c r="B562" s="430"/>
      <c r="C562" s="24" t="s">
        <v>12</v>
      </c>
      <c r="D562" s="25">
        <v>7541</v>
      </c>
      <c r="E562" s="26">
        <v>7486</v>
      </c>
      <c r="F562" s="26">
        <v>9488</v>
      </c>
      <c r="G562" s="26">
        <v>9261</v>
      </c>
      <c r="H562" s="26">
        <v>8083</v>
      </c>
      <c r="I562" s="26">
        <v>8311</v>
      </c>
      <c r="J562" s="26">
        <v>8171</v>
      </c>
      <c r="K562" s="26">
        <v>5906</v>
      </c>
      <c r="L562" s="26">
        <v>5644</v>
      </c>
      <c r="M562" s="26">
        <v>8636</v>
      </c>
      <c r="N562" s="26">
        <v>8577</v>
      </c>
      <c r="O562" s="26">
        <v>8594</v>
      </c>
      <c r="P562" s="27">
        <f>SUM(D562:O562)</f>
        <v>95698</v>
      </c>
    </row>
    <row r="563" spans="2:17" ht="12.75" hidden="1" customHeight="1" thickBot="1" x14ac:dyDescent="0.3">
      <c r="B563" s="431"/>
      <c r="C563" s="42" t="s">
        <v>0</v>
      </c>
      <c r="D563" s="43">
        <f t="shared" ref="D563:L563" si="142">SUM(D561:D562)</f>
        <v>11287</v>
      </c>
      <c r="E563" s="43">
        <f t="shared" si="142"/>
        <v>10989</v>
      </c>
      <c r="F563" s="43">
        <f t="shared" si="142"/>
        <v>14312</v>
      </c>
      <c r="G563" s="43">
        <f t="shared" si="142"/>
        <v>13890</v>
      </c>
      <c r="H563" s="43">
        <f t="shared" si="142"/>
        <v>11285</v>
      </c>
      <c r="I563" s="43">
        <f t="shared" si="142"/>
        <v>12566</v>
      </c>
      <c r="J563" s="43">
        <f t="shared" si="142"/>
        <v>11602</v>
      </c>
      <c r="K563" s="43">
        <f t="shared" si="142"/>
        <v>9089</v>
      </c>
      <c r="L563" s="43">
        <f t="shared" si="142"/>
        <v>8140</v>
      </c>
      <c r="M563" s="43">
        <f>SUM(M561:M562)</f>
        <v>12818</v>
      </c>
      <c r="N563" s="43">
        <f>SUM(N561:N562)</f>
        <v>12733</v>
      </c>
      <c r="O563" s="43">
        <f>SUM(O561:O562)</f>
        <v>12629</v>
      </c>
      <c r="P563" s="44">
        <f>SUM(P561:P562)</f>
        <v>141340</v>
      </c>
    </row>
    <row r="564" spans="2:17" ht="12.75" hidden="1" customHeight="1" x14ac:dyDescent="0.25">
      <c r="B564" s="429" t="s">
        <v>10</v>
      </c>
      <c r="C564" s="38" t="s">
        <v>13</v>
      </c>
      <c r="D564" s="39">
        <v>615</v>
      </c>
      <c r="E564" s="40">
        <v>697</v>
      </c>
      <c r="F564" s="40">
        <v>718</v>
      </c>
      <c r="G564" s="40">
        <v>530</v>
      </c>
      <c r="H564" s="40">
        <v>717</v>
      </c>
      <c r="I564" s="40">
        <v>657</v>
      </c>
      <c r="J564" s="40">
        <v>653</v>
      </c>
      <c r="K564" s="40">
        <v>457</v>
      </c>
      <c r="L564" s="40">
        <v>480</v>
      </c>
      <c r="M564" s="40">
        <v>688</v>
      </c>
      <c r="N564" s="40">
        <v>692</v>
      </c>
      <c r="O564" s="40">
        <v>881</v>
      </c>
      <c r="P564" s="41">
        <f>SUM(D564:O564)</f>
        <v>7785</v>
      </c>
      <c r="Q564" s="337"/>
    </row>
    <row r="565" spans="2:17" ht="12.75" hidden="1" customHeight="1" x14ac:dyDescent="0.25">
      <c r="B565" s="430"/>
      <c r="C565" s="24" t="s">
        <v>14</v>
      </c>
      <c r="D565" s="25">
        <v>1791</v>
      </c>
      <c r="E565" s="26">
        <v>1833</v>
      </c>
      <c r="F565" s="26">
        <v>1986</v>
      </c>
      <c r="G565" s="26">
        <v>2350</v>
      </c>
      <c r="H565" s="26">
        <v>1988</v>
      </c>
      <c r="I565" s="26">
        <v>2065</v>
      </c>
      <c r="J565" s="26">
        <v>2301</v>
      </c>
      <c r="K565" s="26">
        <v>1654</v>
      </c>
      <c r="L565" s="26">
        <v>2034</v>
      </c>
      <c r="M565" s="26">
        <v>2354</v>
      </c>
      <c r="N565" s="26">
        <v>2401</v>
      </c>
      <c r="O565" s="26">
        <v>2331</v>
      </c>
      <c r="P565" s="27">
        <f>SUM(D565:O565)</f>
        <v>25088</v>
      </c>
    </row>
    <row r="566" spans="2:17" ht="12.75" hidden="1" customHeight="1" thickBot="1" x14ac:dyDescent="0.3">
      <c r="B566" s="431"/>
      <c r="C566" s="42" t="s">
        <v>0</v>
      </c>
      <c r="D566" s="43">
        <f t="shared" ref="D566:O566" si="143">SUM(D564:D565)</f>
        <v>2406</v>
      </c>
      <c r="E566" s="43">
        <f t="shared" si="143"/>
        <v>2530</v>
      </c>
      <c r="F566" s="43">
        <f t="shared" si="143"/>
        <v>2704</v>
      </c>
      <c r="G566" s="43">
        <f t="shared" si="143"/>
        <v>2880</v>
      </c>
      <c r="H566" s="43">
        <f t="shared" si="143"/>
        <v>2705</v>
      </c>
      <c r="I566" s="43">
        <f t="shared" si="143"/>
        <v>2722</v>
      </c>
      <c r="J566" s="43">
        <f t="shared" si="143"/>
        <v>2954</v>
      </c>
      <c r="K566" s="43">
        <f t="shared" si="143"/>
        <v>2111</v>
      </c>
      <c r="L566" s="43">
        <f t="shared" si="143"/>
        <v>2514</v>
      </c>
      <c r="M566" s="43">
        <f t="shared" si="143"/>
        <v>3042</v>
      </c>
      <c r="N566" s="43">
        <f t="shared" si="143"/>
        <v>3093</v>
      </c>
      <c r="O566" s="43">
        <f t="shared" si="143"/>
        <v>3212</v>
      </c>
      <c r="P566" s="44">
        <f>SUM(P564:P565)</f>
        <v>32873</v>
      </c>
    </row>
    <row r="567" spans="2:17" ht="12.75" hidden="1" customHeight="1" thickBot="1" x14ac:dyDescent="0.3">
      <c r="B567" s="442" t="s">
        <v>2</v>
      </c>
      <c r="C567" s="443"/>
      <c r="D567" s="45">
        <f t="shared" ref="D567:O567" si="144">D555+D560+D566+D563</f>
        <v>51525</v>
      </c>
      <c r="E567" s="45">
        <f t="shared" si="144"/>
        <v>51380</v>
      </c>
      <c r="F567" s="45">
        <f t="shared" si="144"/>
        <v>57812</v>
      </c>
      <c r="G567" s="45">
        <f t="shared" si="144"/>
        <v>65891</v>
      </c>
      <c r="H567" s="45">
        <f t="shared" si="144"/>
        <v>59911</v>
      </c>
      <c r="I567" s="45">
        <f t="shared" si="144"/>
        <v>59915</v>
      </c>
      <c r="J567" s="45">
        <f t="shared" si="144"/>
        <v>59640</v>
      </c>
      <c r="K567" s="45">
        <f t="shared" si="144"/>
        <v>48143</v>
      </c>
      <c r="L567" s="45">
        <f t="shared" si="144"/>
        <v>47789</v>
      </c>
      <c r="M567" s="45">
        <f t="shared" si="144"/>
        <v>58103</v>
      </c>
      <c r="N567" s="45">
        <f t="shared" si="144"/>
        <v>55725</v>
      </c>
      <c r="O567" s="45">
        <f t="shared" si="144"/>
        <v>69357</v>
      </c>
      <c r="P567" s="45">
        <f>SUM(P555,P560,P563,P566)</f>
        <v>685191</v>
      </c>
      <c r="Q567" s="337"/>
    </row>
    <row r="568" spans="2:17" ht="4.5" hidden="1" customHeight="1" x14ac:dyDescent="0.25">
      <c r="J568" s="115"/>
    </row>
    <row r="569" spans="2:17" hidden="1" x14ac:dyDescent="0.25">
      <c r="B569" s="81" t="s">
        <v>24</v>
      </c>
      <c r="C569" s="82"/>
      <c r="D569" s="83">
        <f>SUM(D570:D571)</f>
        <v>5154</v>
      </c>
      <c r="E569" s="83">
        <f t="shared" ref="E569:O569" si="145">SUM(E570:E571)</f>
        <v>0</v>
      </c>
      <c r="F569" s="83">
        <f t="shared" si="145"/>
        <v>0</v>
      </c>
      <c r="G569" s="83">
        <f t="shared" si="145"/>
        <v>0</v>
      </c>
      <c r="H569" s="83">
        <f t="shared" si="145"/>
        <v>0</v>
      </c>
      <c r="I569" s="83">
        <f t="shared" si="145"/>
        <v>0</v>
      </c>
      <c r="J569" s="83">
        <f t="shared" si="145"/>
        <v>0</v>
      </c>
      <c r="K569" s="83">
        <f t="shared" si="145"/>
        <v>0</v>
      </c>
      <c r="L569" s="83">
        <f t="shared" si="145"/>
        <v>0</v>
      </c>
      <c r="M569" s="83">
        <f t="shared" si="145"/>
        <v>0</v>
      </c>
      <c r="N569" s="83">
        <f t="shared" si="145"/>
        <v>0</v>
      </c>
      <c r="O569" s="83">
        <f t="shared" si="145"/>
        <v>0</v>
      </c>
      <c r="P569" s="84">
        <f>SUM(P570:P571)</f>
        <v>5154</v>
      </c>
    </row>
    <row r="570" spans="2:17" ht="9" hidden="1" customHeight="1" x14ac:dyDescent="0.25">
      <c r="B570" s="85"/>
      <c r="C570" s="86" t="s">
        <v>28</v>
      </c>
      <c r="D570" s="99">
        <v>5154</v>
      </c>
      <c r="E570" s="99"/>
      <c r="F570" s="87"/>
      <c r="G570" s="100"/>
      <c r="H570" s="87"/>
      <c r="I570" s="97"/>
      <c r="J570" s="97"/>
      <c r="K570" s="87"/>
      <c r="L570" s="87"/>
      <c r="M570" s="87"/>
      <c r="N570" s="87"/>
      <c r="O570" s="87"/>
      <c r="P570" s="88">
        <f>SUM(D570:O570)</f>
        <v>5154</v>
      </c>
    </row>
    <row r="571" spans="2:17" ht="9" hidden="1" customHeight="1" x14ac:dyDescent="0.25">
      <c r="B571" s="89"/>
      <c r="C571" s="86" t="s">
        <v>23</v>
      </c>
      <c r="D571" s="99">
        <v>0</v>
      </c>
      <c r="E571" s="99"/>
      <c r="F571" s="87"/>
      <c r="G571" s="100"/>
      <c r="H571" s="87"/>
      <c r="I571" s="97"/>
      <c r="J571" s="98"/>
      <c r="K571" s="90"/>
      <c r="L571" s="90"/>
      <c r="M571" s="90"/>
      <c r="N571" s="90"/>
      <c r="O571" s="90"/>
      <c r="P571" s="88">
        <f>SUM(D571:O571)</f>
        <v>0</v>
      </c>
    </row>
    <row r="572" spans="2:17" ht="6" hidden="1" customHeight="1" x14ac:dyDescent="0.25">
      <c r="G572" s="91"/>
      <c r="L572" s="91"/>
      <c r="P572" s="46"/>
      <c r="Q572" s="114"/>
    </row>
    <row r="573" spans="2:17" hidden="1" x14ac:dyDescent="0.25">
      <c r="B573" s="92" t="s">
        <v>25</v>
      </c>
      <c r="C573" s="93"/>
      <c r="D573" s="83">
        <f>SUM(D574:D578)</f>
        <v>5117</v>
      </c>
      <c r="E573" s="83">
        <f>SUM(E574:E578)</f>
        <v>5083</v>
      </c>
      <c r="F573" s="83">
        <f t="shared" ref="F573:O573" si="146">SUM(F574:F578)</f>
        <v>4713</v>
      </c>
      <c r="G573" s="83">
        <f t="shared" si="146"/>
        <v>15392</v>
      </c>
      <c r="H573" s="83">
        <f t="shared" si="146"/>
        <v>13687</v>
      </c>
      <c r="I573" s="83">
        <f t="shared" si="146"/>
        <v>10793</v>
      </c>
      <c r="J573" s="83">
        <f t="shared" si="146"/>
        <v>10035</v>
      </c>
      <c r="K573" s="83">
        <f t="shared" si="146"/>
        <v>7307</v>
      </c>
      <c r="L573" s="83">
        <f t="shared" si="146"/>
        <v>8287</v>
      </c>
      <c r="M573" s="83">
        <f t="shared" si="146"/>
        <v>8071</v>
      </c>
      <c r="N573" s="83">
        <f t="shared" si="146"/>
        <v>7631</v>
      </c>
      <c r="O573" s="83">
        <f t="shared" si="146"/>
        <v>11898</v>
      </c>
      <c r="P573" s="83">
        <f>SUM(P574:P578)</f>
        <v>108014</v>
      </c>
    </row>
    <row r="574" spans="2:17" ht="9.9" hidden="1" customHeight="1" x14ac:dyDescent="0.25">
      <c r="B574" s="85"/>
      <c r="C574" s="86" t="s">
        <v>199</v>
      </c>
      <c r="D574" s="87">
        <v>497</v>
      </c>
      <c r="E574" s="87">
        <v>675</v>
      </c>
      <c r="F574" s="87">
        <v>184</v>
      </c>
      <c r="G574" s="122" t="s">
        <v>53</v>
      </c>
      <c r="H574" s="87">
        <v>0</v>
      </c>
      <c r="I574" s="87">
        <v>0</v>
      </c>
      <c r="J574" s="87">
        <v>0</v>
      </c>
      <c r="K574" s="87">
        <v>0</v>
      </c>
      <c r="L574" s="87" t="s">
        <v>53</v>
      </c>
      <c r="M574" s="87" t="s">
        <v>53</v>
      </c>
      <c r="N574" s="87">
        <v>0</v>
      </c>
      <c r="O574" s="87">
        <v>0</v>
      </c>
      <c r="P574" s="88">
        <f>SUM(D574:O574)</f>
        <v>1356</v>
      </c>
    </row>
    <row r="575" spans="2:17" ht="9.9" hidden="1" customHeight="1" x14ac:dyDescent="0.25">
      <c r="B575" s="85"/>
      <c r="C575" s="86" t="s">
        <v>26</v>
      </c>
      <c r="D575" s="87">
        <v>4134</v>
      </c>
      <c r="E575" s="87">
        <v>4009</v>
      </c>
      <c r="F575" s="87">
        <v>4235</v>
      </c>
      <c r="G575" s="87">
        <v>3184</v>
      </c>
      <c r="H575" s="87">
        <v>2819</v>
      </c>
      <c r="I575" s="87">
        <v>3319</v>
      </c>
      <c r="J575" s="87">
        <v>3204</v>
      </c>
      <c r="K575" s="87">
        <v>1370</v>
      </c>
      <c r="L575" s="87">
        <v>1064</v>
      </c>
      <c r="M575" s="87">
        <v>1128</v>
      </c>
      <c r="N575" s="87">
        <v>1145</v>
      </c>
      <c r="O575" s="87">
        <v>1377</v>
      </c>
      <c r="P575" s="88">
        <f>SUM(D575:O575)</f>
        <v>30988</v>
      </c>
    </row>
    <row r="576" spans="2:17" ht="9.9" hidden="1" customHeight="1" x14ac:dyDescent="0.25">
      <c r="B576" s="85"/>
      <c r="C576" s="86" t="s">
        <v>52</v>
      </c>
      <c r="D576" s="122" t="s">
        <v>53</v>
      </c>
      <c r="E576" s="122" t="s">
        <v>53</v>
      </c>
      <c r="F576" s="122" t="s">
        <v>53</v>
      </c>
      <c r="G576" s="87">
        <v>11904</v>
      </c>
      <c r="H576" s="87">
        <v>10324</v>
      </c>
      <c r="I576" s="87">
        <v>6925</v>
      </c>
      <c r="J576" s="87">
        <v>6366</v>
      </c>
      <c r="K576" s="87">
        <v>5596</v>
      </c>
      <c r="L576" s="87">
        <v>6861</v>
      </c>
      <c r="M576" s="87">
        <v>6586</v>
      </c>
      <c r="N576" s="87">
        <v>6115</v>
      </c>
      <c r="O576" s="87">
        <v>9682</v>
      </c>
      <c r="P576" s="88">
        <f>SUM(D576:O576)</f>
        <v>70359</v>
      </c>
    </row>
    <row r="577" spans="2:17" ht="9.9" hidden="1" customHeight="1" x14ac:dyDescent="0.25">
      <c r="B577" s="85"/>
      <c r="C577" s="128" t="s">
        <v>200</v>
      </c>
      <c r="D577" s="122">
        <v>486</v>
      </c>
      <c r="E577" s="122">
        <v>399</v>
      </c>
      <c r="F577" s="122">
        <v>294</v>
      </c>
      <c r="G577" s="87">
        <v>304</v>
      </c>
      <c r="H577" s="87">
        <v>544</v>
      </c>
      <c r="I577" s="87">
        <v>549</v>
      </c>
      <c r="J577" s="87">
        <v>465</v>
      </c>
      <c r="K577" s="87">
        <v>341</v>
      </c>
      <c r="L577" s="87">
        <v>362</v>
      </c>
      <c r="M577" s="87">
        <v>357</v>
      </c>
      <c r="N577" s="87">
        <v>371</v>
      </c>
      <c r="O577" s="87">
        <v>7</v>
      </c>
      <c r="P577" s="88">
        <f>SUM(D577:O577)</f>
        <v>4479</v>
      </c>
    </row>
    <row r="578" spans="2:17" ht="9.9" hidden="1" customHeight="1" x14ac:dyDescent="0.25">
      <c r="B578" s="89"/>
      <c r="C578" s="128" t="s">
        <v>56</v>
      </c>
      <c r="D578" s="122" t="s">
        <v>53</v>
      </c>
      <c r="E578" s="122" t="s">
        <v>53</v>
      </c>
      <c r="F578" s="122" t="s">
        <v>53</v>
      </c>
      <c r="G578" s="122" t="s">
        <v>53</v>
      </c>
      <c r="H578" s="122" t="s">
        <v>53</v>
      </c>
      <c r="I578" s="122" t="s">
        <v>53</v>
      </c>
      <c r="J578" s="122" t="s">
        <v>53</v>
      </c>
      <c r="K578" s="122" t="s">
        <v>53</v>
      </c>
      <c r="L578" s="122" t="s">
        <v>53</v>
      </c>
      <c r="M578" s="122" t="s">
        <v>53</v>
      </c>
      <c r="N578" s="122" t="s">
        <v>53</v>
      </c>
      <c r="O578" s="90">
        <v>832</v>
      </c>
      <c r="P578" s="88">
        <f>SUM(D578:O578)</f>
        <v>832</v>
      </c>
    </row>
    <row r="579" spans="2:17" ht="6" hidden="1" customHeight="1" x14ac:dyDescent="0.25">
      <c r="P579" s="339"/>
    </row>
    <row r="580" spans="2:17" hidden="1" x14ac:dyDescent="0.25">
      <c r="B580" s="81" t="s">
        <v>27</v>
      </c>
      <c r="C580" s="82"/>
      <c r="D580" s="83">
        <f>SUM(D581:D582)</f>
        <v>8134</v>
      </c>
      <c r="E580" s="83">
        <f t="shared" ref="E580:O580" si="147">SUM(E581:E582)</f>
        <v>7496</v>
      </c>
      <c r="F580" s="83">
        <f t="shared" si="147"/>
        <v>8003</v>
      </c>
      <c r="G580" s="83">
        <f t="shared" si="147"/>
        <v>7413</v>
      </c>
      <c r="H580" s="83">
        <f t="shared" si="147"/>
        <v>6236</v>
      </c>
      <c r="I580" s="83">
        <f t="shared" si="147"/>
        <v>6769</v>
      </c>
      <c r="J580" s="83">
        <f t="shared" si="147"/>
        <v>8982</v>
      </c>
      <c r="K580" s="83">
        <f t="shared" si="147"/>
        <v>6784</v>
      </c>
      <c r="L580" s="83">
        <f t="shared" si="147"/>
        <v>6210</v>
      </c>
      <c r="M580" s="83">
        <f t="shared" si="147"/>
        <v>7169</v>
      </c>
      <c r="N580" s="83">
        <f t="shared" si="147"/>
        <v>7449</v>
      </c>
      <c r="O580" s="83">
        <f t="shared" si="147"/>
        <v>12564</v>
      </c>
      <c r="P580" s="84">
        <f>SUM(P581:P582)</f>
        <v>93209</v>
      </c>
    </row>
    <row r="581" spans="2:17" ht="9.9" hidden="1" customHeight="1" x14ac:dyDescent="0.25">
      <c r="B581" s="85"/>
      <c r="C581" s="86" t="s">
        <v>51</v>
      </c>
      <c r="D581" s="99">
        <v>6978</v>
      </c>
      <c r="E581" s="99">
        <v>5918</v>
      </c>
      <c r="F581" s="87">
        <v>6557</v>
      </c>
      <c r="G581" s="100">
        <v>6262</v>
      </c>
      <c r="H581" s="87">
        <v>5339</v>
      </c>
      <c r="I581" s="97">
        <v>5946</v>
      </c>
      <c r="J581" s="97">
        <v>7945</v>
      </c>
      <c r="K581" s="87">
        <v>5882</v>
      </c>
      <c r="L581" s="87">
        <v>5432</v>
      </c>
      <c r="M581" s="87">
        <v>6292</v>
      </c>
      <c r="N581" s="87">
        <v>6560</v>
      </c>
      <c r="O581" s="87">
        <v>10586</v>
      </c>
      <c r="P581" s="88">
        <f>SUM(D581:O581)</f>
        <v>79697</v>
      </c>
    </row>
    <row r="582" spans="2:17" ht="9.9" hidden="1" customHeight="1" x14ac:dyDescent="0.25">
      <c r="B582" s="89"/>
      <c r="C582" s="86" t="s">
        <v>23</v>
      </c>
      <c r="D582" s="99">
        <v>1156</v>
      </c>
      <c r="E582" s="99">
        <v>1578</v>
      </c>
      <c r="F582" s="87">
        <v>1446</v>
      </c>
      <c r="G582" s="100">
        <v>1151</v>
      </c>
      <c r="H582" s="87">
        <v>897</v>
      </c>
      <c r="I582" s="97">
        <v>823</v>
      </c>
      <c r="J582" s="98">
        <v>1037</v>
      </c>
      <c r="K582" s="90">
        <v>902</v>
      </c>
      <c r="L582" s="90">
        <v>778</v>
      </c>
      <c r="M582" s="90">
        <v>877</v>
      </c>
      <c r="N582" s="90">
        <v>889</v>
      </c>
      <c r="O582" s="90">
        <v>1978</v>
      </c>
      <c r="P582" s="88">
        <f>SUM(D582:O582)</f>
        <v>13512</v>
      </c>
    </row>
    <row r="583" spans="2:17" ht="6" hidden="1" customHeight="1" x14ac:dyDescent="0.25">
      <c r="P583" s="339"/>
    </row>
    <row r="584" spans="2:17" ht="15" hidden="1" thickBot="1" x14ac:dyDescent="0.3">
      <c r="B584" s="18" t="s">
        <v>201</v>
      </c>
      <c r="C584" s="18"/>
    </row>
    <row r="585" spans="2:17" ht="12.75" hidden="1" customHeight="1" thickBot="1" x14ac:dyDescent="0.3">
      <c r="B585" s="435" t="s">
        <v>1</v>
      </c>
      <c r="C585" s="436"/>
      <c r="D585" s="21">
        <v>1</v>
      </c>
      <c r="E585" s="22">
        <v>2</v>
      </c>
      <c r="F585" s="22">
        <v>3</v>
      </c>
      <c r="G585" s="22">
        <v>4</v>
      </c>
      <c r="H585" s="22">
        <v>5</v>
      </c>
      <c r="I585" s="22">
        <v>6</v>
      </c>
      <c r="J585" s="22">
        <v>7</v>
      </c>
      <c r="K585" s="22">
        <v>8</v>
      </c>
      <c r="L585" s="22">
        <v>9</v>
      </c>
      <c r="M585" s="22">
        <v>10</v>
      </c>
      <c r="N585" s="22">
        <v>11</v>
      </c>
      <c r="O585" s="22">
        <v>12</v>
      </c>
      <c r="P585" s="23" t="s">
        <v>0</v>
      </c>
    </row>
    <row r="586" spans="2:17" ht="12.75" hidden="1" customHeight="1" x14ac:dyDescent="0.25">
      <c r="B586" s="437" t="s">
        <v>45</v>
      </c>
      <c r="C586" s="38" t="s">
        <v>21</v>
      </c>
      <c r="D586" s="39">
        <v>2077</v>
      </c>
      <c r="E586" s="40">
        <v>1923</v>
      </c>
      <c r="F586" s="39">
        <v>2533</v>
      </c>
      <c r="G586" s="40">
        <v>3084</v>
      </c>
      <c r="H586" s="40">
        <v>2944</v>
      </c>
      <c r="I586" s="40">
        <v>2775</v>
      </c>
      <c r="J586" s="40">
        <v>2707</v>
      </c>
      <c r="K586" s="40">
        <v>2650</v>
      </c>
      <c r="L586" s="40">
        <v>2197</v>
      </c>
      <c r="M586" s="40">
        <v>1958</v>
      </c>
      <c r="N586" s="40">
        <v>2343</v>
      </c>
      <c r="O586" s="40">
        <v>1416</v>
      </c>
      <c r="P586" s="41">
        <f>SUM(D586:O586)</f>
        <v>28607</v>
      </c>
      <c r="Q586" s="337"/>
    </row>
    <row r="587" spans="2:17" ht="12.75" hidden="1" customHeight="1" x14ac:dyDescent="0.25">
      <c r="B587" s="438"/>
      <c r="C587" s="74" t="s">
        <v>22</v>
      </c>
      <c r="D587" s="75">
        <v>166</v>
      </c>
      <c r="E587" s="76">
        <v>223</v>
      </c>
      <c r="F587" s="75">
        <v>190</v>
      </c>
      <c r="G587" s="76">
        <v>400</v>
      </c>
      <c r="H587" s="76">
        <v>378</v>
      </c>
      <c r="I587" s="76">
        <v>239</v>
      </c>
      <c r="J587" s="76">
        <v>248</v>
      </c>
      <c r="K587" s="76">
        <v>263</v>
      </c>
      <c r="L587" s="76">
        <v>301</v>
      </c>
      <c r="M587" s="76">
        <v>251</v>
      </c>
      <c r="N587" s="76">
        <v>239</v>
      </c>
      <c r="O587" s="76">
        <v>29</v>
      </c>
      <c r="P587" s="77">
        <f t="shared" ref="P587:P595" si="148">SUM(D587:O587)</f>
        <v>2927</v>
      </c>
    </row>
    <row r="588" spans="2:17" ht="12.75" hidden="1" customHeight="1" x14ac:dyDescent="0.25">
      <c r="B588" s="438"/>
      <c r="C588" s="74" t="s">
        <v>24</v>
      </c>
      <c r="D588" s="75">
        <f>D610</f>
        <v>6086</v>
      </c>
      <c r="E588" s="75">
        <f t="shared" ref="E588:N588" si="149">E610</f>
        <v>6853</v>
      </c>
      <c r="F588" s="75">
        <f t="shared" si="149"/>
        <v>8346</v>
      </c>
      <c r="G588" s="75">
        <f t="shared" si="149"/>
        <v>7965</v>
      </c>
      <c r="H588" s="75">
        <f t="shared" si="149"/>
        <v>8249</v>
      </c>
      <c r="I588" s="75">
        <f t="shared" si="149"/>
        <v>7051</v>
      </c>
      <c r="J588" s="75">
        <f t="shared" si="149"/>
        <v>7874</v>
      </c>
      <c r="K588" s="75">
        <f t="shared" si="149"/>
        <v>7905</v>
      </c>
      <c r="L588" s="75">
        <f t="shared" si="149"/>
        <v>9185</v>
      </c>
      <c r="M588" s="75">
        <f t="shared" si="149"/>
        <v>8521</v>
      </c>
      <c r="N588" s="75">
        <f t="shared" si="149"/>
        <v>8067</v>
      </c>
      <c r="O588" s="75">
        <f>O610</f>
        <v>7864</v>
      </c>
      <c r="P588" s="77">
        <f t="shared" si="148"/>
        <v>93966</v>
      </c>
    </row>
    <row r="589" spans="2:17" ht="12.75" hidden="1" customHeight="1" x14ac:dyDescent="0.25">
      <c r="B589" s="438"/>
      <c r="C589" s="28" t="s">
        <v>3</v>
      </c>
      <c r="D589" s="29">
        <v>763</v>
      </c>
      <c r="E589" s="30">
        <v>776</v>
      </c>
      <c r="F589" s="29">
        <v>1045</v>
      </c>
      <c r="G589" s="30">
        <v>918</v>
      </c>
      <c r="H589" s="30">
        <v>1059</v>
      </c>
      <c r="I589" s="30">
        <v>687</v>
      </c>
      <c r="J589" s="30">
        <v>921</v>
      </c>
      <c r="K589" s="30">
        <v>820</v>
      </c>
      <c r="L589" s="30">
        <v>921</v>
      </c>
      <c r="M589" s="30">
        <v>741</v>
      </c>
      <c r="N589" s="30">
        <v>995</v>
      </c>
      <c r="O589" s="30">
        <v>764</v>
      </c>
      <c r="P589" s="77">
        <f t="shared" si="148"/>
        <v>10410</v>
      </c>
    </row>
    <row r="590" spans="2:17" ht="12.75" hidden="1" customHeight="1" x14ac:dyDescent="0.25">
      <c r="B590" s="438"/>
      <c r="C590" s="72" t="s">
        <v>25</v>
      </c>
      <c r="D590" s="73">
        <f>D614</f>
        <v>7031</v>
      </c>
      <c r="E590" s="73">
        <f t="shared" ref="E590:L590" si="150">E614</f>
        <v>6787</v>
      </c>
      <c r="F590" s="73">
        <f t="shared" si="150"/>
        <v>8102</v>
      </c>
      <c r="G590" s="73">
        <f t="shared" si="150"/>
        <v>8730</v>
      </c>
      <c r="H590" s="73">
        <f t="shared" si="150"/>
        <v>8365</v>
      </c>
      <c r="I590" s="73">
        <f t="shared" si="150"/>
        <v>7365</v>
      </c>
      <c r="J590" s="73">
        <f t="shared" si="150"/>
        <v>7763</v>
      </c>
      <c r="K590" s="73">
        <f t="shared" si="150"/>
        <v>7389</v>
      </c>
      <c r="L590" s="73">
        <f t="shared" si="150"/>
        <v>6781</v>
      </c>
      <c r="M590" s="73">
        <f>M614</f>
        <v>7452</v>
      </c>
      <c r="N590" s="73">
        <f>N614</f>
        <v>7283</v>
      </c>
      <c r="O590" s="73">
        <f>O614</f>
        <v>6352</v>
      </c>
      <c r="P590" s="77">
        <f t="shared" si="148"/>
        <v>89400</v>
      </c>
    </row>
    <row r="591" spans="2:17" ht="12.75" hidden="1" customHeight="1" x14ac:dyDescent="0.25">
      <c r="B591" s="438"/>
      <c r="C591" s="72" t="s">
        <v>43</v>
      </c>
      <c r="D591" s="73">
        <v>299</v>
      </c>
      <c r="E591" s="73">
        <v>306</v>
      </c>
      <c r="F591" s="73">
        <v>531</v>
      </c>
      <c r="G591" s="73">
        <v>634</v>
      </c>
      <c r="H591" s="73">
        <v>703</v>
      </c>
      <c r="I591" s="73">
        <v>553</v>
      </c>
      <c r="J591" s="73">
        <v>721</v>
      </c>
      <c r="K591" s="73">
        <v>702</v>
      </c>
      <c r="L591" s="73">
        <v>430</v>
      </c>
      <c r="M591" s="73">
        <v>523</v>
      </c>
      <c r="N591" s="73">
        <v>403</v>
      </c>
      <c r="O591" s="73">
        <v>20</v>
      </c>
      <c r="P591" s="77">
        <f t="shared" si="148"/>
        <v>5825</v>
      </c>
    </row>
    <row r="592" spans="2:17" ht="12.75" hidden="1" customHeight="1" x14ac:dyDescent="0.25">
      <c r="B592" s="438"/>
      <c r="C592" s="72" t="s">
        <v>27</v>
      </c>
      <c r="D592" s="73">
        <v>8027</v>
      </c>
      <c r="E592" s="73">
        <f>6959+334</f>
        <v>7293</v>
      </c>
      <c r="F592" s="73">
        <f>7615+351</f>
        <v>7966</v>
      </c>
      <c r="G592" s="73">
        <f>7335+390</f>
        <v>7725</v>
      </c>
      <c r="H592" s="73">
        <f>7494+277</f>
        <v>7771</v>
      </c>
      <c r="I592" s="73">
        <f>7481+293</f>
        <v>7774</v>
      </c>
      <c r="J592" s="73">
        <f>7876+264</f>
        <v>8140</v>
      </c>
      <c r="K592" s="73">
        <f>6233+224</f>
        <v>6457</v>
      </c>
      <c r="L592" s="73">
        <v>5651</v>
      </c>
      <c r="M592" s="73">
        <v>8115</v>
      </c>
      <c r="N592" s="73">
        <v>5888</v>
      </c>
      <c r="O592" s="73">
        <f>7649+45</f>
        <v>7694</v>
      </c>
      <c r="P592" s="77">
        <f t="shared" si="148"/>
        <v>88501</v>
      </c>
    </row>
    <row r="593" spans="2:17" ht="12.75" hidden="1" customHeight="1" x14ac:dyDescent="0.25">
      <c r="B593" s="438"/>
      <c r="C593" s="28" t="s">
        <v>4</v>
      </c>
      <c r="D593" s="29">
        <v>1152</v>
      </c>
      <c r="E593" s="30">
        <v>942</v>
      </c>
      <c r="F593" s="29">
        <v>1211</v>
      </c>
      <c r="G593" s="30">
        <v>1155</v>
      </c>
      <c r="H593" s="30">
        <v>1154</v>
      </c>
      <c r="I593" s="30">
        <v>895</v>
      </c>
      <c r="J593" s="30">
        <v>1037</v>
      </c>
      <c r="K593" s="30">
        <v>799</v>
      </c>
      <c r="L593" s="30">
        <v>858</v>
      </c>
      <c r="M593" s="30">
        <v>1061</v>
      </c>
      <c r="N593" s="30">
        <v>775</v>
      </c>
      <c r="O593" s="30">
        <f>1100+8</f>
        <v>1108</v>
      </c>
      <c r="P593" s="77">
        <f t="shared" si="148"/>
        <v>12147</v>
      </c>
    </row>
    <row r="594" spans="2:17" ht="12.75" hidden="1" customHeight="1" x14ac:dyDescent="0.25">
      <c r="B594" s="438"/>
      <c r="C594" s="28" t="s">
        <v>5</v>
      </c>
      <c r="D594" s="29">
        <v>25</v>
      </c>
      <c r="E594" s="30">
        <v>29</v>
      </c>
      <c r="F594" s="29">
        <v>34</v>
      </c>
      <c r="G594" s="30">
        <v>56</v>
      </c>
      <c r="H594" s="30">
        <v>42</v>
      </c>
      <c r="I594" s="30">
        <v>28</v>
      </c>
      <c r="J594" s="30">
        <v>38</v>
      </c>
      <c r="K594" s="30">
        <v>32</v>
      </c>
      <c r="L594" s="30">
        <v>28</v>
      </c>
      <c r="M594" s="30">
        <v>29</v>
      </c>
      <c r="N594" s="30">
        <v>19</v>
      </c>
      <c r="O594" s="30">
        <v>25</v>
      </c>
      <c r="P594" s="77">
        <f t="shared" si="148"/>
        <v>385</v>
      </c>
    </row>
    <row r="595" spans="2:17" ht="12.75" hidden="1" customHeight="1" x14ac:dyDescent="0.25">
      <c r="B595" s="438"/>
      <c r="C595" s="28" t="s">
        <v>6</v>
      </c>
      <c r="D595" s="29">
        <v>1265</v>
      </c>
      <c r="E595" s="30">
        <v>1115</v>
      </c>
      <c r="F595" s="29">
        <v>1472</v>
      </c>
      <c r="G595" s="30">
        <v>1142</v>
      </c>
      <c r="H595" s="30">
        <v>1057</v>
      </c>
      <c r="I595" s="30">
        <v>1096</v>
      </c>
      <c r="J595" s="30">
        <v>1238</v>
      </c>
      <c r="K595" s="30">
        <v>981</v>
      </c>
      <c r="L595" s="30">
        <v>796</v>
      </c>
      <c r="M595" s="30">
        <v>1028</v>
      </c>
      <c r="N595" s="30">
        <v>784</v>
      </c>
      <c r="O595" s="30">
        <v>759</v>
      </c>
      <c r="P595" s="77">
        <f t="shared" si="148"/>
        <v>12733</v>
      </c>
    </row>
    <row r="596" spans="2:17" ht="12.75" hidden="1" customHeight="1" thickBot="1" x14ac:dyDescent="0.3">
      <c r="B596" s="431"/>
      <c r="C596" s="42" t="s">
        <v>0</v>
      </c>
      <c r="D596" s="43">
        <f t="shared" ref="D596:L596" si="151">SUM(D586:D595)</f>
        <v>26891</v>
      </c>
      <c r="E596" s="43">
        <f t="shared" si="151"/>
        <v>26247</v>
      </c>
      <c r="F596" s="43">
        <f t="shared" si="151"/>
        <v>31430</v>
      </c>
      <c r="G596" s="43">
        <f t="shared" si="151"/>
        <v>31809</v>
      </c>
      <c r="H596" s="43">
        <f t="shared" si="151"/>
        <v>31722</v>
      </c>
      <c r="I596" s="43">
        <f t="shared" si="151"/>
        <v>28463</v>
      </c>
      <c r="J596" s="43">
        <f t="shared" si="151"/>
        <v>30687</v>
      </c>
      <c r="K596" s="43">
        <f t="shared" si="151"/>
        <v>27998</v>
      </c>
      <c r="L596" s="43">
        <f t="shared" si="151"/>
        <v>27148</v>
      </c>
      <c r="M596" s="43">
        <f>SUM(M586:M595)</f>
        <v>29679</v>
      </c>
      <c r="N596" s="43">
        <f>SUM(N586:N595)</f>
        <v>26796</v>
      </c>
      <c r="O596" s="43">
        <f>SUM(O586:O595)</f>
        <v>26031</v>
      </c>
      <c r="P596" s="44">
        <f>SUM(P586:P595)</f>
        <v>344901</v>
      </c>
    </row>
    <row r="597" spans="2:17" ht="12.75" hidden="1" customHeight="1" x14ac:dyDescent="0.25">
      <c r="B597" s="433" t="s">
        <v>44</v>
      </c>
      <c r="C597" s="24" t="s">
        <v>7</v>
      </c>
      <c r="D597" s="25">
        <v>2341</v>
      </c>
      <c r="E597" s="26">
        <v>2633</v>
      </c>
      <c r="F597" s="26">
        <v>3024</v>
      </c>
      <c r="G597" s="26">
        <v>3414</v>
      </c>
      <c r="H597" s="26">
        <v>3348</v>
      </c>
      <c r="I597" s="26">
        <v>4233</v>
      </c>
      <c r="J597" s="26">
        <v>5872</v>
      </c>
      <c r="K597" s="26">
        <v>3409</v>
      </c>
      <c r="L597" s="26">
        <v>2829</v>
      </c>
      <c r="M597" s="26">
        <v>4029</v>
      </c>
      <c r="N597" s="26">
        <v>4405</v>
      </c>
      <c r="O597" s="26">
        <v>3308</v>
      </c>
      <c r="P597" s="41">
        <f>SUM(D597:O597)</f>
        <v>42845</v>
      </c>
    </row>
    <row r="598" spans="2:17" ht="12.75" hidden="1" customHeight="1" x14ac:dyDescent="0.25">
      <c r="B598" s="433"/>
      <c r="C598" s="28" t="s">
        <v>8</v>
      </c>
      <c r="D598" s="29">
        <v>6563</v>
      </c>
      <c r="E598" s="30">
        <v>5871</v>
      </c>
      <c r="F598" s="30">
        <v>7048</v>
      </c>
      <c r="G598" s="30">
        <v>7444</v>
      </c>
      <c r="H598" s="30">
        <v>7199</v>
      </c>
      <c r="I598" s="30">
        <v>7558</v>
      </c>
      <c r="J598" s="30">
        <v>7657</v>
      </c>
      <c r="K598" s="30">
        <v>4839</v>
      </c>
      <c r="L598" s="30">
        <v>5268</v>
      </c>
      <c r="M598" s="30">
        <v>6741</v>
      </c>
      <c r="N598" s="30">
        <v>7141</v>
      </c>
      <c r="O598" s="30">
        <v>5443</v>
      </c>
      <c r="P598" s="77">
        <f>SUM(D598:O598)</f>
        <v>78772</v>
      </c>
    </row>
    <row r="599" spans="2:17" ht="12.75" hidden="1" customHeight="1" x14ac:dyDescent="0.25">
      <c r="B599" s="433"/>
      <c r="C599" s="28" t="s">
        <v>54</v>
      </c>
      <c r="D599" s="29">
        <v>355</v>
      </c>
      <c r="E599" s="30">
        <v>296</v>
      </c>
      <c r="F599" s="30">
        <v>363</v>
      </c>
      <c r="G599" s="30">
        <v>352</v>
      </c>
      <c r="H599" s="30">
        <v>400</v>
      </c>
      <c r="I599" s="30">
        <v>358</v>
      </c>
      <c r="J599" s="30">
        <v>437</v>
      </c>
      <c r="K599" s="30">
        <v>403</v>
      </c>
      <c r="L599" s="30">
        <v>332</v>
      </c>
      <c r="M599" s="30">
        <v>390</v>
      </c>
      <c r="N599" s="30">
        <v>248</v>
      </c>
      <c r="O599" s="30">
        <v>278</v>
      </c>
      <c r="P599" s="31">
        <f>SUM(D599:O599)</f>
        <v>4212</v>
      </c>
    </row>
    <row r="600" spans="2:17" ht="12.75" hidden="1" customHeight="1" x14ac:dyDescent="0.25">
      <c r="B600" s="433"/>
      <c r="C600" s="28" t="s">
        <v>50</v>
      </c>
      <c r="D600" s="29">
        <v>0</v>
      </c>
      <c r="E600" s="30">
        <v>0</v>
      </c>
      <c r="F600" s="30">
        <v>280</v>
      </c>
      <c r="G600" s="30">
        <v>586</v>
      </c>
      <c r="H600" s="30">
        <v>1099</v>
      </c>
      <c r="I600" s="30">
        <v>1366</v>
      </c>
      <c r="J600" s="30">
        <v>1610</v>
      </c>
      <c r="K600" s="30">
        <v>811</v>
      </c>
      <c r="L600" s="30">
        <v>483</v>
      </c>
      <c r="M600" s="30">
        <v>1015</v>
      </c>
      <c r="N600" s="30">
        <v>732</v>
      </c>
      <c r="O600" s="30">
        <v>723</v>
      </c>
      <c r="P600" s="31">
        <f>SUM(D600:O600)</f>
        <v>8705</v>
      </c>
    </row>
    <row r="601" spans="2:17" ht="12.75" hidden="1" customHeight="1" thickBot="1" x14ac:dyDescent="0.3">
      <c r="B601" s="439"/>
      <c r="C601" s="35" t="s">
        <v>0</v>
      </c>
      <c r="D601" s="36">
        <f t="shared" ref="D601:P601" si="152">SUM(D597:D600)</f>
        <v>9259</v>
      </c>
      <c r="E601" s="36">
        <f t="shared" si="152"/>
        <v>8800</v>
      </c>
      <c r="F601" s="36">
        <f t="shared" si="152"/>
        <v>10715</v>
      </c>
      <c r="G601" s="36">
        <f t="shared" si="152"/>
        <v>11796</v>
      </c>
      <c r="H601" s="36">
        <f t="shared" si="152"/>
        <v>12046</v>
      </c>
      <c r="I601" s="36">
        <f t="shared" si="152"/>
        <v>13515</v>
      </c>
      <c r="J601" s="36">
        <f t="shared" si="152"/>
        <v>15576</v>
      </c>
      <c r="K601" s="36">
        <f t="shared" si="152"/>
        <v>9462</v>
      </c>
      <c r="L601" s="36">
        <f t="shared" si="152"/>
        <v>8912</v>
      </c>
      <c r="M601" s="36">
        <f t="shared" si="152"/>
        <v>12175</v>
      </c>
      <c r="N601" s="36">
        <f t="shared" si="152"/>
        <v>12526</v>
      </c>
      <c r="O601" s="36">
        <f t="shared" si="152"/>
        <v>9752</v>
      </c>
      <c r="P601" s="37">
        <f t="shared" si="152"/>
        <v>134534</v>
      </c>
      <c r="Q601" s="337"/>
    </row>
    <row r="602" spans="2:17" ht="12.75" hidden="1" customHeight="1" x14ac:dyDescent="0.25">
      <c r="B602" s="429" t="s">
        <v>9</v>
      </c>
      <c r="C602" s="38" t="s">
        <v>11</v>
      </c>
      <c r="D602" s="39">
        <v>4251</v>
      </c>
      <c r="E602" s="40">
        <v>3480</v>
      </c>
      <c r="F602" s="40">
        <v>4467</v>
      </c>
      <c r="G602" s="40">
        <v>4266</v>
      </c>
      <c r="H602" s="40">
        <v>3927</v>
      </c>
      <c r="I602" s="40">
        <v>3249</v>
      </c>
      <c r="J602" s="40">
        <v>3601</v>
      </c>
      <c r="K602" s="40">
        <v>2571</v>
      </c>
      <c r="L602" s="40">
        <v>2918</v>
      </c>
      <c r="M602" s="40">
        <v>3281</v>
      </c>
      <c r="N602" s="40">
        <v>3703</v>
      </c>
      <c r="O602" s="40">
        <v>3324</v>
      </c>
      <c r="P602" s="41">
        <f>SUM(D602:O602)</f>
        <v>43038</v>
      </c>
      <c r="Q602" s="337"/>
    </row>
    <row r="603" spans="2:17" ht="12.75" hidden="1" customHeight="1" x14ac:dyDescent="0.25">
      <c r="B603" s="430"/>
      <c r="C603" s="24" t="s">
        <v>12</v>
      </c>
      <c r="D603" s="25">
        <v>7805</v>
      </c>
      <c r="E603" s="26">
        <v>6860</v>
      </c>
      <c r="F603" s="26">
        <v>7234</v>
      </c>
      <c r="G603" s="26">
        <v>7944</v>
      </c>
      <c r="H603" s="26">
        <v>8337</v>
      </c>
      <c r="I603" s="26">
        <v>8491</v>
      </c>
      <c r="J603" s="26">
        <v>7778</v>
      </c>
      <c r="K603" s="26">
        <v>6287</v>
      </c>
      <c r="L603" s="26">
        <v>5629</v>
      </c>
      <c r="M603" s="26">
        <v>9085</v>
      </c>
      <c r="N603" s="26">
        <v>8277</v>
      </c>
      <c r="O603" s="26">
        <v>8302</v>
      </c>
      <c r="P603" s="27">
        <f>SUM(D603:O603)</f>
        <v>92029</v>
      </c>
    </row>
    <row r="604" spans="2:17" ht="12.75" hidden="1" customHeight="1" thickBot="1" x14ac:dyDescent="0.3">
      <c r="B604" s="431"/>
      <c r="C604" s="42" t="s">
        <v>0</v>
      </c>
      <c r="D604" s="43">
        <f t="shared" ref="D604:L604" si="153">SUM(D602:D603)</f>
        <v>12056</v>
      </c>
      <c r="E604" s="43">
        <f t="shared" si="153"/>
        <v>10340</v>
      </c>
      <c r="F604" s="43">
        <f t="shared" si="153"/>
        <v>11701</v>
      </c>
      <c r="G604" s="43">
        <f t="shared" si="153"/>
        <v>12210</v>
      </c>
      <c r="H604" s="43">
        <f t="shared" si="153"/>
        <v>12264</v>
      </c>
      <c r="I604" s="43">
        <f t="shared" si="153"/>
        <v>11740</v>
      </c>
      <c r="J604" s="43">
        <f t="shared" si="153"/>
        <v>11379</v>
      </c>
      <c r="K604" s="43">
        <f t="shared" si="153"/>
        <v>8858</v>
      </c>
      <c r="L604" s="43">
        <f t="shared" si="153"/>
        <v>8547</v>
      </c>
      <c r="M604" s="43">
        <f>SUM(M602:M603)</f>
        <v>12366</v>
      </c>
      <c r="N604" s="43">
        <f>SUM(N602:N603)</f>
        <v>11980</v>
      </c>
      <c r="O604" s="43">
        <f>SUM(O602:O603)</f>
        <v>11626</v>
      </c>
      <c r="P604" s="44">
        <f>SUM(P602:P603)</f>
        <v>135067</v>
      </c>
    </row>
    <row r="605" spans="2:17" ht="12.75" hidden="1" customHeight="1" x14ac:dyDescent="0.25">
      <c r="B605" s="429" t="s">
        <v>10</v>
      </c>
      <c r="C605" s="38" t="s">
        <v>13</v>
      </c>
      <c r="D605" s="39">
        <v>553</v>
      </c>
      <c r="E605" s="40">
        <v>714</v>
      </c>
      <c r="F605" s="40">
        <v>620</v>
      </c>
      <c r="G605" s="40">
        <v>640</v>
      </c>
      <c r="H605" s="40">
        <v>684</v>
      </c>
      <c r="I605" s="40">
        <v>630</v>
      </c>
      <c r="J605" s="40">
        <v>632</v>
      </c>
      <c r="K605" s="40">
        <v>478</v>
      </c>
      <c r="L605" s="40">
        <v>479</v>
      </c>
      <c r="M605" s="40">
        <v>808</v>
      </c>
      <c r="N605" s="40">
        <v>725</v>
      </c>
      <c r="O605" s="40">
        <v>783</v>
      </c>
      <c r="P605" s="41">
        <f>SUM(D605:O605)</f>
        <v>7746</v>
      </c>
      <c r="Q605" s="337"/>
    </row>
    <row r="606" spans="2:17" ht="12.75" hidden="1" customHeight="1" x14ac:dyDescent="0.25">
      <c r="B606" s="430"/>
      <c r="C606" s="24" t="s">
        <v>14</v>
      </c>
      <c r="D606" s="25">
        <v>1452</v>
      </c>
      <c r="E606" s="26">
        <v>1388</v>
      </c>
      <c r="F606" s="26">
        <v>1590</v>
      </c>
      <c r="G606" s="26">
        <v>1910</v>
      </c>
      <c r="H606" s="26">
        <v>1226</v>
      </c>
      <c r="I606" s="26">
        <v>1200</v>
      </c>
      <c r="J606" s="26">
        <v>1028</v>
      </c>
      <c r="K606" s="26">
        <v>884</v>
      </c>
      <c r="L606" s="26">
        <v>1171</v>
      </c>
      <c r="M606" s="26">
        <v>2525</v>
      </c>
      <c r="N606" s="26">
        <v>2275</v>
      </c>
      <c r="O606" s="26">
        <v>1968</v>
      </c>
      <c r="P606" s="27">
        <f>SUM(D606:O606)</f>
        <v>18617</v>
      </c>
    </row>
    <row r="607" spans="2:17" ht="12.75" hidden="1" customHeight="1" thickBot="1" x14ac:dyDescent="0.3">
      <c r="B607" s="431"/>
      <c r="C607" s="42" t="s">
        <v>0</v>
      </c>
      <c r="D607" s="43">
        <f t="shared" ref="D607:O607" si="154">SUM(D605:D606)</f>
        <v>2005</v>
      </c>
      <c r="E607" s="43">
        <f t="shared" si="154"/>
        <v>2102</v>
      </c>
      <c r="F607" s="43">
        <f t="shared" si="154"/>
        <v>2210</v>
      </c>
      <c r="G607" s="43">
        <f t="shared" si="154"/>
        <v>2550</v>
      </c>
      <c r="H607" s="43">
        <f t="shared" si="154"/>
        <v>1910</v>
      </c>
      <c r="I607" s="43">
        <f t="shared" si="154"/>
        <v>1830</v>
      </c>
      <c r="J607" s="43">
        <f t="shared" si="154"/>
        <v>1660</v>
      </c>
      <c r="K607" s="43">
        <f t="shared" si="154"/>
        <v>1362</v>
      </c>
      <c r="L607" s="43">
        <f t="shared" si="154"/>
        <v>1650</v>
      </c>
      <c r="M607" s="43">
        <f t="shared" si="154"/>
        <v>3333</v>
      </c>
      <c r="N607" s="43">
        <f t="shared" si="154"/>
        <v>3000</v>
      </c>
      <c r="O607" s="43">
        <f t="shared" si="154"/>
        <v>2751</v>
      </c>
      <c r="P607" s="44">
        <f>SUM(P605:P606)</f>
        <v>26363</v>
      </c>
    </row>
    <row r="608" spans="2:17" ht="12.75" hidden="1" customHeight="1" thickBot="1" x14ac:dyDescent="0.3">
      <c r="B608" s="442" t="s">
        <v>2</v>
      </c>
      <c r="C608" s="443"/>
      <c r="D608" s="45">
        <f t="shared" ref="D608:O608" si="155">D596+D601+D607+D604</f>
        <v>50211</v>
      </c>
      <c r="E608" s="45">
        <f t="shared" si="155"/>
        <v>47489</v>
      </c>
      <c r="F608" s="45">
        <f t="shared" si="155"/>
        <v>56056</v>
      </c>
      <c r="G608" s="45">
        <f t="shared" si="155"/>
        <v>58365</v>
      </c>
      <c r="H608" s="45">
        <f t="shared" si="155"/>
        <v>57942</v>
      </c>
      <c r="I608" s="45">
        <f t="shared" si="155"/>
        <v>55548</v>
      </c>
      <c r="J608" s="45">
        <f t="shared" si="155"/>
        <v>59302</v>
      </c>
      <c r="K608" s="45">
        <f t="shared" si="155"/>
        <v>47680</v>
      </c>
      <c r="L608" s="45">
        <f t="shared" si="155"/>
        <v>46257</v>
      </c>
      <c r="M608" s="45">
        <f t="shared" si="155"/>
        <v>57553</v>
      </c>
      <c r="N608" s="45">
        <f t="shared" si="155"/>
        <v>54302</v>
      </c>
      <c r="O608" s="45">
        <f t="shared" si="155"/>
        <v>50160</v>
      </c>
      <c r="P608" s="45">
        <f>SUM(P596,P601,P604,P607)</f>
        <v>640865</v>
      </c>
      <c r="Q608" s="337"/>
    </row>
    <row r="609" spans="2:17" ht="9.6" hidden="1" customHeight="1" x14ac:dyDescent="0.25">
      <c r="J609" s="115"/>
    </row>
    <row r="610" spans="2:17" hidden="1" x14ac:dyDescent="0.25">
      <c r="B610" s="81" t="s">
        <v>24</v>
      </c>
      <c r="C610" s="82"/>
      <c r="D610" s="83">
        <f>SUM(D611:D612)</f>
        <v>6086</v>
      </c>
      <c r="E610" s="83">
        <f t="shared" ref="E610:O610" si="156">SUM(E611:E612)</f>
        <v>6853</v>
      </c>
      <c r="F610" s="83">
        <f t="shared" si="156"/>
        <v>8346</v>
      </c>
      <c r="G610" s="83">
        <f t="shared" si="156"/>
        <v>7965</v>
      </c>
      <c r="H610" s="83">
        <f t="shared" si="156"/>
        <v>8249</v>
      </c>
      <c r="I610" s="83">
        <f t="shared" si="156"/>
        <v>7051</v>
      </c>
      <c r="J610" s="83">
        <f t="shared" si="156"/>
        <v>7874</v>
      </c>
      <c r="K610" s="83">
        <f t="shared" si="156"/>
        <v>7905</v>
      </c>
      <c r="L610" s="83">
        <f t="shared" si="156"/>
        <v>9185</v>
      </c>
      <c r="M610" s="83">
        <f t="shared" si="156"/>
        <v>8521</v>
      </c>
      <c r="N610" s="83">
        <f t="shared" si="156"/>
        <v>8067</v>
      </c>
      <c r="O610" s="83">
        <f t="shared" si="156"/>
        <v>7864</v>
      </c>
      <c r="P610" s="84">
        <f>SUM(P611:P612)</f>
        <v>93966</v>
      </c>
    </row>
    <row r="611" spans="2:17" ht="9.9" hidden="1" customHeight="1" x14ac:dyDescent="0.25">
      <c r="B611" s="85"/>
      <c r="C611" s="86" t="s">
        <v>28</v>
      </c>
      <c r="D611" s="99">
        <v>6019</v>
      </c>
      <c r="E611" s="99">
        <v>6816</v>
      </c>
      <c r="F611" s="87">
        <v>8263</v>
      </c>
      <c r="G611" s="100">
        <f>7878+35</f>
        <v>7913</v>
      </c>
      <c r="H611" s="87">
        <f>8096+95</f>
        <v>8191</v>
      </c>
      <c r="I611" s="97">
        <f>6941+48</f>
        <v>6989</v>
      </c>
      <c r="J611" s="97">
        <f>7787+44</f>
        <v>7831</v>
      </c>
      <c r="K611" s="87">
        <f>7816+41</f>
        <v>7857</v>
      </c>
      <c r="L611" s="87">
        <v>9148</v>
      </c>
      <c r="M611" s="87">
        <f>8448+38</f>
        <v>8486</v>
      </c>
      <c r="N611" s="87">
        <v>8033</v>
      </c>
      <c r="O611" s="87">
        <v>7838</v>
      </c>
      <c r="P611" s="88">
        <f>SUM(D611:O611)</f>
        <v>93384</v>
      </c>
    </row>
    <row r="612" spans="2:17" ht="9.9" hidden="1" customHeight="1" x14ac:dyDescent="0.25">
      <c r="B612" s="89"/>
      <c r="C612" s="86" t="s">
        <v>23</v>
      </c>
      <c r="D612" s="99">
        <v>67</v>
      </c>
      <c r="E612" s="99">
        <v>37</v>
      </c>
      <c r="F612" s="87">
        <v>83</v>
      </c>
      <c r="G612" s="100">
        <v>52</v>
      </c>
      <c r="H612" s="87">
        <v>58</v>
      </c>
      <c r="I612" s="97">
        <v>62</v>
      </c>
      <c r="J612" s="98">
        <v>43</v>
      </c>
      <c r="K612" s="90">
        <v>48</v>
      </c>
      <c r="L612" s="90">
        <v>37</v>
      </c>
      <c r="M612" s="90">
        <v>35</v>
      </c>
      <c r="N612" s="90">
        <v>34</v>
      </c>
      <c r="O612" s="90">
        <v>26</v>
      </c>
      <c r="P612" s="88">
        <f>SUM(D612:O612)</f>
        <v>582</v>
      </c>
    </row>
    <row r="613" spans="2:17" ht="6" hidden="1" customHeight="1" x14ac:dyDescent="0.25">
      <c r="G613" s="91"/>
      <c r="L613" s="91"/>
      <c r="P613" s="46"/>
      <c r="Q613" s="114"/>
    </row>
    <row r="614" spans="2:17" hidden="1" x14ac:dyDescent="0.25">
      <c r="B614" s="92" t="s">
        <v>25</v>
      </c>
      <c r="C614" s="93"/>
      <c r="D614" s="83">
        <f t="shared" ref="D614:P614" si="157">SUM(D615:D617)</f>
        <v>7031</v>
      </c>
      <c r="E614" s="83">
        <f t="shared" si="157"/>
        <v>6787</v>
      </c>
      <c r="F614" s="83">
        <f t="shared" si="157"/>
        <v>8102</v>
      </c>
      <c r="G614" s="83">
        <f t="shared" si="157"/>
        <v>8730</v>
      </c>
      <c r="H614" s="83">
        <f t="shared" si="157"/>
        <v>8365</v>
      </c>
      <c r="I614" s="83">
        <f t="shared" si="157"/>
        <v>7365</v>
      </c>
      <c r="J614" s="83">
        <f t="shared" si="157"/>
        <v>7763</v>
      </c>
      <c r="K614" s="83">
        <f t="shared" si="157"/>
        <v>7389</v>
      </c>
      <c r="L614" s="83">
        <f t="shared" si="157"/>
        <v>6781</v>
      </c>
      <c r="M614" s="83">
        <f t="shared" si="157"/>
        <v>7452</v>
      </c>
      <c r="N614" s="83">
        <f t="shared" si="157"/>
        <v>7283</v>
      </c>
      <c r="O614" s="83">
        <f t="shared" si="157"/>
        <v>6352</v>
      </c>
      <c r="P614" s="83">
        <f t="shared" si="157"/>
        <v>89400</v>
      </c>
    </row>
    <row r="615" spans="2:17" ht="9.9" hidden="1" customHeight="1" x14ac:dyDescent="0.25">
      <c r="B615" s="85"/>
      <c r="C615" s="86" t="s">
        <v>199</v>
      </c>
      <c r="D615" s="87">
        <v>507</v>
      </c>
      <c r="E615" s="87">
        <f>25+387</f>
        <v>412</v>
      </c>
      <c r="F615" s="87">
        <f>54+464</f>
        <v>518</v>
      </c>
      <c r="G615" s="87">
        <f>26+419</f>
        <v>445</v>
      </c>
      <c r="H615" s="87">
        <f>24+400</f>
        <v>424</v>
      </c>
      <c r="I615" s="87">
        <f>8+345</f>
        <v>353</v>
      </c>
      <c r="J615" s="87">
        <v>300</v>
      </c>
      <c r="K615" s="87">
        <f>145+284</f>
        <v>429</v>
      </c>
      <c r="L615" s="87">
        <v>428</v>
      </c>
      <c r="M615" s="87">
        <v>497</v>
      </c>
      <c r="N615" s="87">
        <v>667</v>
      </c>
      <c r="O615" s="87">
        <v>458</v>
      </c>
      <c r="P615" s="88">
        <f>SUM(D615:O615)</f>
        <v>5438</v>
      </c>
    </row>
    <row r="616" spans="2:17" ht="9.9" hidden="1" customHeight="1" x14ac:dyDescent="0.25">
      <c r="B616" s="85"/>
      <c r="C616" s="86" t="s">
        <v>26</v>
      </c>
      <c r="D616" s="87">
        <v>5471</v>
      </c>
      <c r="E616" s="87">
        <f>3782+1683</f>
        <v>5465</v>
      </c>
      <c r="F616" s="87">
        <f>3937+2345</f>
        <v>6282</v>
      </c>
      <c r="G616" s="87">
        <f>4294+2658</f>
        <v>6952</v>
      </c>
      <c r="H616" s="87">
        <f>4380+2333</f>
        <v>6713</v>
      </c>
      <c r="I616" s="87">
        <f>3694+1999</f>
        <v>5693</v>
      </c>
      <c r="J616" s="87">
        <f>4209+1832</f>
        <v>6041</v>
      </c>
      <c r="K616" s="87">
        <f>4222+1692</f>
        <v>5914</v>
      </c>
      <c r="L616" s="87">
        <v>5250</v>
      </c>
      <c r="M616" s="87">
        <v>5741</v>
      </c>
      <c r="N616" s="87">
        <v>5724</v>
      </c>
      <c r="O616" s="87">
        <f>3487+1831</f>
        <v>5318</v>
      </c>
      <c r="P616" s="88">
        <f>SUM(D616:O616)</f>
        <v>70564</v>
      </c>
    </row>
    <row r="617" spans="2:17" ht="9.9" hidden="1" customHeight="1" x14ac:dyDescent="0.25">
      <c r="B617" s="89"/>
      <c r="C617" s="86" t="s">
        <v>23</v>
      </c>
      <c r="D617" s="90">
        <v>1053</v>
      </c>
      <c r="E617" s="90">
        <v>910</v>
      </c>
      <c r="F617" s="90">
        <v>1302</v>
      </c>
      <c r="G617" s="90">
        <v>1333</v>
      </c>
      <c r="H617" s="90">
        <v>1228</v>
      </c>
      <c r="I617" s="90">
        <v>1319</v>
      </c>
      <c r="J617" s="90">
        <v>1422</v>
      </c>
      <c r="K617" s="90">
        <v>1046</v>
      </c>
      <c r="L617" s="90">
        <v>1103</v>
      </c>
      <c r="M617" s="90">
        <v>1214</v>
      </c>
      <c r="N617" s="90">
        <v>892</v>
      </c>
      <c r="O617" s="90">
        <v>576</v>
      </c>
      <c r="P617" s="88">
        <f>SUM(D617:O617)</f>
        <v>13398</v>
      </c>
    </row>
    <row r="618" spans="2:17" ht="10.8" hidden="1" customHeight="1" x14ac:dyDescent="0.25"/>
    <row r="619" spans="2:17" ht="15" hidden="1" thickBot="1" x14ac:dyDescent="0.3">
      <c r="B619" s="18" t="s">
        <v>202</v>
      </c>
      <c r="C619" s="18"/>
    </row>
    <row r="620" spans="2:17" ht="12.75" hidden="1" customHeight="1" thickBot="1" x14ac:dyDescent="0.3">
      <c r="B620" s="435" t="s">
        <v>1</v>
      </c>
      <c r="C620" s="436"/>
      <c r="D620" s="21">
        <v>1</v>
      </c>
      <c r="E620" s="22">
        <v>2</v>
      </c>
      <c r="F620" s="22">
        <v>3</v>
      </c>
      <c r="G620" s="22">
        <v>4</v>
      </c>
      <c r="H620" s="22">
        <v>5</v>
      </c>
      <c r="I620" s="22">
        <v>6</v>
      </c>
      <c r="J620" s="22">
        <v>7</v>
      </c>
      <c r="K620" s="22">
        <v>8</v>
      </c>
      <c r="L620" s="22">
        <v>9</v>
      </c>
      <c r="M620" s="22">
        <v>10</v>
      </c>
      <c r="N620" s="22">
        <v>11</v>
      </c>
      <c r="O620" s="22">
        <v>12</v>
      </c>
      <c r="P620" s="23" t="s">
        <v>0</v>
      </c>
    </row>
    <row r="621" spans="2:17" ht="12.75" hidden="1" customHeight="1" x14ac:dyDescent="0.25">
      <c r="B621" s="438" t="s">
        <v>204</v>
      </c>
      <c r="C621" s="24" t="s">
        <v>205</v>
      </c>
      <c r="D621" s="25">
        <v>0</v>
      </c>
      <c r="E621" s="26">
        <v>0</v>
      </c>
      <c r="F621" s="25">
        <v>0</v>
      </c>
      <c r="G621" s="26">
        <v>0</v>
      </c>
      <c r="H621" s="26"/>
      <c r="I621" s="26"/>
      <c r="J621" s="26"/>
      <c r="K621" s="26"/>
      <c r="L621" s="26"/>
      <c r="M621" s="26"/>
      <c r="N621" s="26"/>
      <c r="O621" s="26"/>
      <c r="P621" s="27">
        <f t="shared" ref="P621:P632" si="158">SUM(D621:O621)</f>
        <v>0</v>
      </c>
    </row>
    <row r="622" spans="2:17" ht="12.75" hidden="1" customHeight="1" x14ac:dyDescent="0.25">
      <c r="B622" s="438"/>
      <c r="C622" s="28" t="s">
        <v>206</v>
      </c>
      <c r="D622" s="29">
        <v>0</v>
      </c>
      <c r="E622" s="30">
        <v>0</v>
      </c>
      <c r="F622" s="29">
        <v>0</v>
      </c>
      <c r="G622" s="30">
        <v>0</v>
      </c>
      <c r="H622" s="30"/>
      <c r="I622" s="30"/>
      <c r="J622" s="30"/>
      <c r="K622" s="30"/>
      <c r="L622" s="30"/>
      <c r="M622" s="30"/>
      <c r="N622" s="30"/>
      <c r="O622" s="30"/>
      <c r="P622" s="31">
        <f t="shared" si="158"/>
        <v>0</v>
      </c>
    </row>
    <row r="623" spans="2:17" ht="12.75" hidden="1" customHeight="1" x14ac:dyDescent="0.25">
      <c r="B623" s="438"/>
      <c r="C623" s="28" t="s">
        <v>21</v>
      </c>
      <c r="D623" s="29">
        <v>1749</v>
      </c>
      <c r="E623" s="30">
        <v>2371</v>
      </c>
      <c r="F623" s="29">
        <v>2843</v>
      </c>
      <c r="G623" s="30">
        <v>3410</v>
      </c>
      <c r="H623" s="30">
        <v>2614</v>
      </c>
      <c r="I623" s="30">
        <v>2556</v>
      </c>
      <c r="J623" s="30">
        <v>3200</v>
      </c>
      <c r="K623" s="30">
        <v>1546</v>
      </c>
      <c r="L623" s="30">
        <v>2594</v>
      </c>
      <c r="M623" s="30">
        <v>2582</v>
      </c>
      <c r="N623" s="30">
        <v>2683</v>
      </c>
      <c r="O623" s="30">
        <v>2382</v>
      </c>
      <c r="P623" s="31">
        <f>SUM(D623:O623)</f>
        <v>30530</v>
      </c>
      <c r="Q623" s="337"/>
    </row>
    <row r="624" spans="2:17" ht="12.75" hidden="1" customHeight="1" x14ac:dyDescent="0.25">
      <c r="B624" s="438"/>
      <c r="C624" s="74" t="s">
        <v>22</v>
      </c>
      <c r="D624" s="75">
        <v>396</v>
      </c>
      <c r="E624" s="76">
        <v>326</v>
      </c>
      <c r="F624" s="75">
        <v>343</v>
      </c>
      <c r="G624" s="76">
        <v>429</v>
      </c>
      <c r="H624" s="76">
        <v>620</v>
      </c>
      <c r="I624" s="76">
        <v>592</v>
      </c>
      <c r="J624" s="76">
        <v>471</v>
      </c>
      <c r="K624" s="76">
        <v>337</v>
      </c>
      <c r="L624" s="76">
        <v>469</v>
      </c>
      <c r="M624" s="76">
        <v>340</v>
      </c>
      <c r="N624" s="76">
        <v>346</v>
      </c>
      <c r="O624" s="76">
        <v>310</v>
      </c>
      <c r="P624" s="77">
        <f>SUM(D624:O624)</f>
        <v>4979</v>
      </c>
    </row>
    <row r="625" spans="2:18" ht="12.75" hidden="1" customHeight="1" x14ac:dyDescent="0.25">
      <c r="B625" s="438"/>
      <c r="C625" s="74" t="s">
        <v>24</v>
      </c>
      <c r="D625" s="75">
        <f>D646</f>
        <v>7255</v>
      </c>
      <c r="E625" s="75">
        <f t="shared" ref="E625:O625" si="159">E646</f>
        <v>9305</v>
      </c>
      <c r="F625" s="75">
        <f t="shared" si="159"/>
        <v>10210</v>
      </c>
      <c r="G625" s="75">
        <f t="shared" si="159"/>
        <v>9797</v>
      </c>
      <c r="H625" s="75">
        <f t="shared" si="159"/>
        <v>8758</v>
      </c>
      <c r="I625" s="75">
        <f t="shared" si="159"/>
        <v>9822</v>
      </c>
      <c r="J625" s="75">
        <f t="shared" si="159"/>
        <v>10177</v>
      </c>
      <c r="K625" s="75">
        <f t="shared" si="159"/>
        <v>5629</v>
      </c>
      <c r="L625" s="75">
        <f t="shared" si="159"/>
        <v>10303</v>
      </c>
      <c r="M625" s="75">
        <f t="shared" si="159"/>
        <v>9812</v>
      </c>
      <c r="N625" s="75">
        <f t="shared" si="159"/>
        <v>9932</v>
      </c>
      <c r="O625" s="75">
        <f t="shared" si="159"/>
        <v>10290</v>
      </c>
      <c r="P625" s="77">
        <f t="shared" si="158"/>
        <v>111290</v>
      </c>
    </row>
    <row r="626" spans="2:18" ht="12.75" hidden="1" customHeight="1" x14ac:dyDescent="0.25">
      <c r="B626" s="438"/>
      <c r="C626" s="28" t="s">
        <v>3</v>
      </c>
      <c r="D626" s="29">
        <v>1723</v>
      </c>
      <c r="E626" s="30">
        <v>1293</v>
      </c>
      <c r="F626" s="29">
        <v>1535</v>
      </c>
      <c r="G626" s="30">
        <v>1467</v>
      </c>
      <c r="H626" s="30">
        <v>1232</v>
      </c>
      <c r="I626" s="30">
        <v>1305</v>
      </c>
      <c r="J626" s="30">
        <v>1268</v>
      </c>
      <c r="K626" s="30">
        <v>926</v>
      </c>
      <c r="L626" s="30">
        <v>1231</v>
      </c>
      <c r="M626" s="30">
        <v>1097</v>
      </c>
      <c r="N626" s="30">
        <v>1140</v>
      </c>
      <c r="O626" s="30">
        <v>1181</v>
      </c>
      <c r="P626" s="31">
        <f t="shared" si="158"/>
        <v>15398</v>
      </c>
    </row>
    <row r="627" spans="2:18" ht="12.75" hidden="1" customHeight="1" x14ac:dyDescent="0.25">
      <c r="B627" s="438"/>
      <c r="C627" s="72" t="s">
        <v>25</v>
      </c>
      <c r="D627" s="73">
        <f>D650</f>
        <v>7619</v>
      </c>
      <c r="E627" s="73">
        <f t="shared" ref="E627:O627" si="160">E650</f>
        <v>7640</v>
      </c>
      <c r="F627" s="73">
        <f t="shared" si="160"/>
        <v>8469</v>
      </c>
      <c r="G627" s="73">
        <f t="shared" si="160"/>
        <v>9124</v>
      </c>
      <c r="H627" s="73">
        <f t="shared" si="160"/>
        <v>9236</v>
      </c>
      <c r="I627" s="73">
        <f t="shared" si="160"/>
        <v>7505</v>
      </c>
      <c r="J627" s="73">
        <f t="shared" si="160"/>
        <v>8318</v>
      </c>
      <c r="K627" s="73">
        <f t="shared" si="160"/>
        <v>6784</v>
      </c>
      <c r="L627" s="73">
        <f t="shared" si="160"/>
        <v>10820</v>
      </c>
      <c r="M627" s="73">
        <f>M650</f>
        <v>9834</v>
      </c>
      <c r="N627" s="73">
        <f t="shared" si="160"/>
        <v>8997</v>
      </c>
      <c r="O627" s="73">
        <f t="shared" si="160"/>
        <v>9648</v>
      </c>
      <c r="P627" s="340">
        <f t="shared" si="158"/>
        <v>103994</v>
      </c>
    </row>
    <row r="628" spans="2:18" ht="12.75" hidden="1" customHeight="1" x14ac:dyDescent="0.25">
      <c r="B628" s="438"/>
      <c r="C628" s="72" t="s">
        <v>43</v>
      </c>
      <c r="D628" s="73">
        <f>D655</f>
        <v>544</v>
      </c>
      <c r="E628" s="73">
        <f>E655</f>
        <v>1641</v>
      </c>
      <c r="F628" s="73">
        <f t="shared" ref="F628:O628" si="161">F655</f>
        <v>1019</v>
      </c>
      <c r="G628" s="73">
        <v>756</v>
      </c>
      <c r="H628" s="73">
        <f t="shared" si="161"/>
        <v>574</v>
      </c>
      <c r="I628" s="73">
        <f t="shared" si="161"/>
        <v>450</v>
      </c>
      <c r="J628" s="73">
        <f t="shared" si="161"/>
        <v>469</v>
      </c>
      <c r="K628" s="73">
        <f t="shared" si="161"/>
        <v>613</v>
      </c>
      <c r="L628" s="73">
        <f t="shared" si="161"/>
        <v>1561</v>
      </c>
      <c r="M628" s="73">
        <v>1241</v>
      </c>
      <c r="N628" s="73">
        <f t="shared" si="161"/>
        <v>739</v>
      </c>
      <c r="O628" s="73">
        <f t="shared" si="161"/>
        <v>734</v>
      </c>
      <c r="P628" s="340">
        <f>SUM(D628:O628)</f>
        <v>10341</v>
      </c>
    </row>
    <row r="629" spans="2:18" ht="12.75" hidden="1" customHeight="1" x14ac:dyDescent="0.25">
      <c r="B629" s="438"/>
      <c r="C629" s="72" t="s">
        <v>27</v>
      </c>
      <c r="D629" s="73">
        <v>6984</v>
      </c>
      <c r="E629" s="73">
        <v>9337</v>
      </c>
      <c r="F629" s="73">
        <v>8019</v>
      </c>
      <c r="G629" s="73">
        <v>7825</v>
      </c>
      <c r="H629" s="73">
        <v>7705</v>
      </c>
      <c r="I629" s="73">
        <v>6822</v>
      </c>
      <c r="J629" s="73">
        <v>6788</v>
      </c>
      <c r="K629" s="73">
        <v>5343</v>
      </c>
      <c r="L629" s="73">
        <v>7086</v>
      </c>
      <c r="M629" s="73">
        <v>6845</v>
      </c>
      <c r="N629" s="73">
        <v>7736</v>
      </c>
      <c r="O629" s="73">
        <v>8030</v>
      </c>
      <c r="P629" s="340">
        <f t="shared" si="158"/>
        <v>88520</v>
      </c>
    </row>
    <row r="630" spans="2:18" ht="12.75" hidden="1" customHeight="1" x14ac:dyDescent="0.25">
      <c r="B630" s="438"/>
      <c r="C630" s="28" t="s">
        <v>4</v>
      </c>
      <c r="D630" s="29">
        <v>1567</v>
      </c>
      <c r="E630" s="30">
        <v>1540</v>
      </c>
      <c r="F630" s="29">
        <v>1560</v>
      </c>
      <c r="G630" s="30">
        <v>1611</v>
      </c>
      <c r="H630" s="30">
        <v>1295</v>
      </c>
      <c r="I630" s="30">
        <v>1784</v>
      </c>
      <c r="J630" s="30">
        <v>1620</v>
      </c>
      <c r="K630" s="30">
        <v>1066</v>
      </c>
      <c r="L630" s="30">
        <v>1946</v>
      </c>
      <c r="M630" s="30">
        <v>1392</v>
      </c>
      <c r="N630" s="30">
        <v>1088</v>
      </c>
      <c r="O630" s="30">
        <v>1607</v>
      </c>
      <c r="P630" s="31">
        <f t="shared" si="158"/>
        <v>18076</v>
      </c>
    </row>
    <row r="631" spans="2:18" ht="12.75" hidden="1" customHeight="1" x14ac:dyDescent="0.25">
      <c r="B631" s="438"/>
      <c r="C631" s="28" t="s">
        <v>5</v>
      </c>
      <c r="D631" s="29">
        <v>97</v>
      </c>
      <c r="E631" s="30">
        <v>92</v>
      </c>
      <c r="F631" s="29">
        <v>110</v>
      </c>
      <c r="G631" s="30">
        <v>93</v>
      </c>
      <c r="H631" s="30">
        <v>109</v>
      </c>
      <c r="I631" s="30">
        <v>108</v>
      </c>
      <c r="J631" s="30">
        <v>118</v>
      </c>
      <c r="K631" s="30">
        <v>96</v>
      </c>
      <c r="L631" s="30">
        <v>216</v>
      </c>
      <c r="M631" s="30">
        <v>92</v>
      </c>
      <c r="N631" s="30">
        <v>59</v>
      </c>
      <c r="O631" s="30">
        <v>72</v>
      </c>
      <c r="P631" s="31">
        <f t="shared" si="158"/>
        <v>1262</v>
      </c>
    </row>
    <row r="632" spans="2:18" ht="12.75" hidden="1" customHeight="1" x14ac:dyDescent="0.25">
      <c r="B632" s="438"/>
      <c r="C632" s="28" t="s">
        <v>6</v>
      </c>
      <c r="D632" s="29">
        <v>955</v>
      </c>
      <c r="E632" s="30">
        <v>1015</v>
      </c>
      <c r="F632" s="29">
        <v>967</v>
      </c>
      <c r="G632" s="30">
        <v>991</v>
      </c>
      <c r="H632" s="30">
        <v>960</v>
      </c>
      <c r="I632" s="30">
        <v>861</v>
      </c>
      <c r="J632" s="30">
        <v>700</v>
      </c>
      <c r="K632" s="30">
        <v>584</v>
      </c>
      <c r="L632" s="30">
        <v>600</v>
      </c>
      <c r="M632" s="30">
        <v>546</v>
      </c>
      <c r="N632" s="30">
        <v>390</v>
      </c>
      <c r="O632" s="30">
        <v>748</v>
      </c>
      <c r="P632" s="31">
        <f t="shared" si="158"/>
        <v>9317</v>
      </c>
    </row>
    <row r="633" spans="2:18" ht="12.75" hidden="1" customHeight="1" x14ac:dyDescent="0.25">
      <c r="B633" s="444"/>
      <c r="C633" s="35" t="s">
        <v>0</v>
      </c>
      <c r="D633" s="36">
        <f>SUM(D621:D632)</f>
        <v>28889</v>
      </c>
      <c r="E633" s="36">
        <f>SUM(E621:E632)</f>
        <v>34560</v>
      </c>
      <c r="F633" s="36">
        <f t="shared" ref="F633:O633" si="162">SUM(F621:F632)</f>
        <v>35075</v>
      </c>
      <c r="G633" s="36">
        <f t="shared" si="162"/>
        <v>35503</v>
      </c>
      <c r="H633" s="36">
        <f t="shared" si="162"/>
        <v>33103</v>
      </c>
      <c r="I633" s="36">
        <f t="shared" si="162"/>
        <v>31805</v>
      </c>
      <c r="J633" s="36">
        <f t="shared" si="162"/>
        <v>33129</v>
      </c>
      <c r="K633" s="36">
        <f t="shared" si="162"/>
        <v>22924</v>
      </c>
      <c r="L633" s="36">
        <f>SUM(L621:L632)</f>
        <v>36826</v>
      </c>
      <c r="M633" s="36">
        <f t="shared" si="162"/>
        <v>33781</v>
      </c>
      <c r="N633" s="36">
        <f t="shared" si="162"/>
        <v>33110</v>
      </c>
      <c r="O633" s="36">
        <f t="shared" si="162"/>
        <v>35002</v>
      </c>
      <c r="P633" s="37">
        <f>SUM(P621:P632)</f>
        <v>393707</v>
      </c>
    </row>
    <row r="634" spans="2:18" ht="12.75" hidden="1" customHeight="1" x14ac:dyDescent="0.25">
      <c r="B634" s="433"/>
      <c r="C634" s="28" t="s">
        <v>7</v>
      </c>
      <c r="D634" s="29">
        <v>3335</v>
      </c>
      <c r="E634" s="30">
        <v>2754</v>
      </c>
      <c r="F634" s="30">
        <v>3120</v>
      </c>
      <c r="G634" s="30">
        <v>2779</v>
      </c>
      <c r="H634" s="30">
        <v>2650</v>
      </c>
      <c r="I634" s="30">
        <v>2668</v>
      </c>
      <c r="J634" s="30">
        <v>3518</v>
      </c>
      <c r="K634" s="30">
        <v>2488</v>
      </c>
      <c r="L634" s="30">
        <v>3350</v>
      </c>
      <c r="M634" s="30">
        <v>3669</v>
      </c>
      <c r="N634" s="30">
        <v>3833</v>
      </c>
      <c r="O634" s="30">
        <v>3572</v>
      </c>
      <c r="P634" s="31">
        <f>SUM(D634:O634)</f>
        <v>37736</v>
      </c>
    </row>
    <row r="635" spans="2:18" ht="12.75" hidden="1" customHeight="1" x14ac:dyDescent="0.25">
      <c r="B635" s="433"/>
      <c r="C635" s="28" t="s">
        <v>8</v>
      </c>
      <c r="D635" s="29">
        <v>1872</v>
      </c>
      <c r="E635" s="30">
        <v>1333</v>
      </c>
      <c r="F635" s="30">
        <v>1497</v>
      </c>
      <c r="G635" s="30">
        <v>1695</v>
      </c>
      <c r="H635" s="30">
        <f>H659</f>
        <v>7809</v>
      </c>
      <c r="I635" s="30">
        <f>I659</f>
        <v>10423</v>
      </c>
      <c r="J635" s="30">
        <v>7989</v>
      </c>
      <c r="K635" s="30">
        <v>4070</v>
      </c>
      <c r="L635" s="30">
        <v>6175</v>
      </c>
      <c r="M635" s="30">
        <v>7765</v>
      </c>
      <c r="N635" s="30">
        <v>8122</v>
      </c>
      <c r="O635" s="30">
        <v>9632</v>
      </c>
      <c r="P635" s="31">
        <f>SUM(D635:O635)</f>
        <v>68382</v>
      </c>
    </row>
    <row r="636" spans="2:18" ht="12.75" hidden="1" customHeight="1" x14ac:dyDescent="0.25">
      <c r="B636" s="433"/>
      <c r="C636" s="28" t="s">
        <v>54</v>
      </c>
      <c r="D636" s="29">
        <v>421</v>
      </c>
      <c r="E636" s="30">
        <v>985</v>
      </c>
      <c r="F636" s="30">
        <v>919</v>
      </c>
      <c r="G636" s="30">
        <v>383</v>
      </c>
      <c r="H636" s="30">
        <v>462</v>
      </c>
      <c r="I636" s="30">
        <v>435</v>
      </c>
      <c r="J636" s="30">
        <v>473</v>
      </c>
      <c r="K636" s="30">
        <v>377</v>
      </c>
      <c r="L636" s="30">
        <v>474</v>
      </c>
      <c r="M636" s="30">
        <v>383</v>
      </c>
      <c r="N636" s="30">
        <v>345</v>
      </c>
      <c r="O636" s="30">
        <v>232</v>
      </c>
      <c r="P636" s="31">
        <f>SUM(D636:O636)</f>
        <v>5889</v>
      </c>
      <c r="R636" s="341"/>
    </row>
    <row r="637" spans="2:18" ht="12.75" hidden="1" customHeight="1" thickBot="1" x14ac:dyDescent="0.3">
      <c r="B637" s="439"/>
      <c r="C637" s="35" t="s">
        <v>0</v>
      </c>
      <c r="D637" s="36">
        <f t="shared" ref="D637:P637" si="163">SUM(D634:D636)</f>
        <v>5628</v>
      </c>
      <c r="E637" s="36">
        <f t="shared" si="163"/>
        <v>5072</v>
      </c>
      <c r="F637" s="36">
        <f t="shared" si="163"/>
        <v>5536</v>
      </c>
      <c r="G637" s="36">
        <f t="shared" si="163"/>
        <v>4857</v>
      </c>
      <c r="H637" s="36">
        <f t="shared" si="163"/>
        <v>10921</v>
      </c>
      <c r="I637" s="36">
        <f t="shared" si="163"/>
        <v>13526</v>
      </c>
      <c r="J637" s="36">
        <f t="shared" si="163"/>
        <v>11980</v>
      </c>
      <c r="K637" s="36">
        <f t="shared" si="163"/>
        <v>6935</v>
      </c>
      <c r="L637" s="36">
        <f t="shared" si="163"/>
        <v>9999</v>
      </c>
      <c r="M637" s="36">
        <f t="shared" si="163"/>
        <v>11817</v>
      </c>
      <c r="N637" s="36">
        <f t="shared" si="163"/>
        <v>12300</v>
      </c>
      <c r="O637" s="36">
        <f t="shared" si="163"/>
        <v>13436</v>
      </c>
      <c r="P637" s="37">
        <f t="shared" si="163"/>
        <v>112007</v>
      </c>
      <c r="Q637" s="337"/>
    </row>
    <row r="638" spans="2:18" ht="12.75" hidden="1" customHeight="1" x14ac:dyDescent="0.25">
      <c r="B638" s="429" t="s">
        <v>9</v>
      </c>
      <c r="C638" s="38" t="s">
        <v>11</v>
      </c>
      <c r="D638" s="39">
        <v>2556</v>
      </c>
      <c r="E638" s="40">
        <v>4034</v>
      </c>
      <c r="F638" s="40">
        <v>4498</v>
      </c>
      <c r="G638" s="40">
        <v>4516</v>
      </c>
      <c r="H638" s="40">
        <v>4365</v>
      </c>
      <c r="I638" s="40">
        <v>4509</v>
      </c>
      <c r="J638" s="40">
        <v>5057</v>
      </c>
      <c r="K638" s="40">
        <v>1644</v>
      </c>
      <c r="L638" s="40">
        <v>457</v>
      </c>
      <c r="M638" s="40">
        <v>4219</v>
      </c>
      <c r="N638" s="40">
        <v>5338</v>
      </c>
      <c r="O638" s="40">
        <v>4132</v>
      </c>
      <c r="P638" s="41">
        <f>SUM(D638:O638)</f>
        <v>45325</v>
      </c>
      <c r="Q638" s="337"/>
    </row>
    <row r="639" spans="2:18" ht="12.75" hidden="1" customHeight="1" x14ac:dyDescent="0.25">
      <c r="B639" s="430"/>
      <c r="C639" s="24" t="s">
        <v>12</v>
      </c>
      <c r="D639" s="25">
        <v>5933</v>
      </c>
      <c r="E639" s="26">
        <v>7437</v>
      </c>
      <c r="F639" s="26">
        <v>8105</v>
      </c>
      <c r="G639" s="26">
        <v>7618</v>
      </c>
      <c r="H639" s="26">
        <v>7061</v>
      </c>
      <c r="I639" s="26">
        <v>7271</v>
      </c>
      <c r="J639" s="26">
        <v>7136</v>
      </c>
      <c r="K639" s="26">
        <v>3832</v>
      </c>
      <c r="L639" s="26">
        <v>7773</v>
      </c>
      <c r="M639" s="26">
        <v>8649</v>
      </c>
      <c r="N639" s="26">
        <v>8360</v>
      </c>
      <c r="O639" s="26">
        <v>8133</v>
      </c>
      <c r="P639" s="27">
        <f>SUM(D639:O639)</f>
        <v>87308</v>
      </c>
    </row>
    <row r="640" spans="2:18" ht="12.75" hidden="1" customHeight="1" thickBot="1" x14ac:dyDescent="0.3">
      <c r="B640" s="431"/>
      <c r="C640" s="42" t="s">
        <v>0</v>
      </c>
      <c r="D640" s="43">
        <f t="shared" ref="D640:P640" si="164">SUM(D638:D639)</f>
        <v>8489</v>
      </c>
      <c r="E640" s="43">
        <f t="shared" si="164"/>
        <v>11471</v>
      </c>
      <c r="F640" s="43">
        <f t="shared" si="164"/>
        <v>12603</v>
      </c>
      <c r="G640" s="43">
        <f t="shared" si="164"/>
        <v>12134</v>
      </c>
      <c r="H640" s="43">
        <f t="shared" si="164"/>
        <v>11426</v>
      </c>
      <c r="I640" s="43">
        <f t="shared" si="164"/>
        <v>11780</v>
      </c>
      <c r="J640" s="43">
        <f t="shared" si="164"/>
        <v>12193</v>
      </c>
      <c r="K640" s="43">
        <f t="shared" si="164"/>
        <v>5476</v>
      </c>
      <c r="L640" s="43">
        <f t="shared" si="164"/>
        <v>8230</v>
      </c>
      <c r="M640" s="43">
        <f t="shared" si="164"/>
        <v>12868</v>
      </c>
      <c r="N640" s="43">
        <f t="shared" si="164"/>
        <v>13698</v>
      </c>
      <c r="O640" s="43">
        <f t="shared" si="164"/>
        <v>12265</v>
      </c>
      <c r="P640" s="44">
        <f t="shared" si="164"/>
        <v>132633</v>
      </c>
    </row>
    <row r="641" spans="2:17" ht="12.75" hidden="1" customHeight="1" x14ac:dyDescent="0.25">
      <c r="B641" s="429" t="s">
        <v>10</v>
      </c>
      <c r="C641" s="38" t="s">
        <v>13</v>
      </c>
      <c r="D641" s="39">
        <v>632</v>
      </c>
      <c r="E641" s="40">
        <v>800</v>
      </c>
      <c r="F641" s="40">
        <v>809</v>
      </c>
      <c r="G641" s="40">
        <v>751</v>
      </c>
      <c r="H641" s="40">
        <v>670</v>
      </c>
      <c r="I641" s="40">
        <v>569</v>
      </c>
      <c r="J641" s="40">
        <v>531</v>
      </c>
      <c r="K641" s="40">
        <v>180</v>
      </c>
      <c r="L641" s="40">
        <v>537</v>
      </c>
      <c r="M641" s="40">
        <v>787</v>
      </c>
      <c r="N641" s="40">
        <v>570</v>
      </c>
      <c r="O641" s="40">
        <v>524</v>
      </c>
      <c r="P641" s="41">
        <f>SUM(D641:O641)</f>
        <v>7360</v>
      </c>
      <c r="Q641" s="337"/>
    </row>
    <row r="642" spans="2:17" ht="12.75" hidden="1" customHeight="1" x14ac:dyDescent="0.25">
      <c r="B642" s="430"/>
      <c r="C642" s="24" t="s">
        <v>14</v>
      </c>
      <c r="D642" s="25">
        <v>1548</v>
      </c>
      <c r="E642" s="26">
        <v>1744</v>
      </c>
      <c r="F642" s="26">
        <v>1999</v>
      </c>
      <c r="G642" s="26">
        <v>2252</v>
      </c>
      <c r="H642" s="26">
        <v>1930</v>
      </c>
      <c r="I642" s="26">
        <v>2031</v>
      </c>
      <c r="J642" s="26">
        <v>2122</v>
      </c>
      <c r="K642" s="26">
        <v>435</v>
      </c>
      <c r="L642" s="26">
        <v>1967</v>
      </c>
      <c r="M642" s="26">
        <v>2233</v>
      </c>
      <c r="N642" s="26">
        <v>1930</v>
      </c>
      <c r="O642" s="26">
        <v>1879</v>
      </c>
      <c r="P642" s="27">
        <f>SUM(D642:O642)</f>
        <v>22070</v>
      </c>
    </row>
    <row r="643" spans="2:17" ht="12.75" hidden="1" customHeight="1" thickBot="1" x14ac:dyDescent="0.3">
      <c r="B643" s="431"/>
      <c r="C643" s="42" t="s">
        <v>0</v>
      </c>
      <c r="D643" s="43">
        <f t="shared" ref="D643:P643" si="165">SUM(D641:D642)</f>
        <v>2180</v>
      </c>
      <c r="E643" s="43">
        <f t="shared" si="165"/>
        <v>2544</v>
      </c>
      <c r="F643" s="43">
        <f t="shared" si="165"/>
        <v>2808</v>
      </c>
      <c r="G643" s="43">
        <f t="shared" si="165"/>
        <v>3003</v>
      </c>
      <c r="H643" s="43">
        <f t="shared" si="165"/>
        <v>2600</v>
      </c>
      <c r="I643" s="43">
        <f t="shared" si="165"/>
        <v>2600</v>
      </c>
      <c r="J643" s="43">
        <f t="shared" si="165"/>
        <v>2653</v>
      </c>
      <c r="K643" s="43">
        <f t="shared" si="165"/>
        <v>615</v>
      </c>
      <c r="L643" s="43">
        <f t="shared" si="165"/>
        <v>2504</v>
      </c>
      <c r="M643" s="43">
        <f t="shared" si="165"/>
        <v>3020</v>
      </c>
      <c r="N643" s="43">
        <f t="shared" si="165"/>
        <v>2500</v>
      </c>
      <c r="O643" s="43">
        <f t="shared" si="165"/>
        <v>2403</v>
      </c>
      <c r="P643" s="44">
        <f t="shared" si="165"/>
        <v>29430</v>
      </c>
    </row>
    <row r="644" spans="2:17" ht="12.75" hidden="1" customHeight="1" thickBot="1" x14ac:dyDescent="0.3">
      <c r="B644" s="442" t="s">
        <v>2</v>
      </c>
      <c r="C644" s="443"/>
      <c r="D644" s="45">
        <f t="shared" ref="D644:P644" si="166">D633+D637+D643+D640</f>
        <v>45186</v>
      </c>
      <c r="E644" s="45">
        <f t="shared" si="166"/>
        <v>53647</v>
      </c>
      <c r="F644" s="45">
        <f t="shared" si="166"/>
        <v>56022</v>
      </c>
      <c r="G644" s="45">
        <f t="shared" si="166"/>
        <v>55497</v>
      </c>
      <c r="H644" s="45">
        <f t="shared" si="166"/>
        <v>58050</v>
      </c>
      <c r="I644" s="45">
        <f t="shared" si="166"/>
        <v>59711</v>
      </c>
      <c r="J644" s="45">
        <f t="shared" si="166"/>
        <v>59955</v>
      </c>
      <c r="K644" s="45">
        <f t="shared" si="166"/>
        <v>35950</v>
      </c>
      <c r="L644" s="45">
        <f t="shared" si="166"/>
        <v>57559</v>
      </c>
      <c r="M644" s="45">
        <f t="shared" si="166"/>
        <v>61486</v>
      </c>
      <c r="N644" s="45">
        <f t="shared" si="166"/>
        <v>61608</v>
      </c>
      <c r="O644" s="45">
        <f t="shared" si="166"/>
        <v>63106</v>
      </c>
      <c r="P644" s="45">
        <f t="shared" si="166"/>
        <v>667777</v>
      </c>
      <c r="Q644" s="337"/>
    </row>
    <row r="645" spans="2:17" hidden="1" x14ac:dyDescent="0.25">
      <c r="J645" s="115"/>
    </row>
    <row r="646" spans="2:17" hidden="1" x14ac:dyDescent="0.25">
      <c r="B646" s="81" t="s">
        <v>24</v>
      </c>
      <c r="C646" s="82"/>
      <c r="D646" s="83">
        <f>SUM(D647:D648)</f>
        <v>7255</v>
      </c>
      <c r="E646" s="83">
        <f t="shared" ref="E646:O646" si="167">SUM(E647:E648)</f>
        <v>9305</v>
      </c>
      <c r="F646" s="83">
        <f t="shared" si="167"/>
        <v>10210</v>
      </c>
      <c r="G646" s="83">
        <f t="shared" si="167"/>
        <v>9797</v>
      </c>
      <c r="H646" s="83">
        <f t="shared" si="167"/>
        <v>8758</v>
      </c>
      <c r="I646" s="83">
        <f t="shared" si="167"/>
        <v>9822</v>
      </c>
      <c r="J646" s="83">
        <f t="shared" si="167"/>
        <v>10177</v>
      </c>
      <c r="K646" s="83">
        <f t="shared" si="167"/>
        <v>5629</v>
      </c>
      <c r="L646" s="83">
        <f t="shared" si="167"/>
        <v>10303</v>
      </c>
      <c r="M646" s="83">
        <f t="shared" si="167"/>
        <v>9812</v>
      </c>
      <c r="N646" s="83">
        <f t="shared" si="167"/>
        <v>9932</v>
      </c>
      <c r="O646" s="83">
        <f t="shared" si="167"/>
        <v>10290</v>
      </c>
      <c r="P646" s="84">
        <f>SUM(P647:P648)</f>
        <v>111290</v>
      </c>
    </row>
    <row r="647" spans="2:17" ht="9" hidden="1" customHeight="1" x14ac:dyDescent="0.25">
      <c r="B647" s="85"/>
      <c r="C647" s="86" t="s">
        <v>28</v>
      </c>
      <c r="D647" s="99">
        <v>7160</v>
      </c>
      <c r="E647" s="99">
        <v>9230</v>
      </c>
      <c r="F647" s="87">
        <v>10062</v>
      </c>
      <c r="G647" s="100">
        <v>9653</v>
      </c>
      <c r="H647" s="87">
        <v>8629</v>
      </c>
      <c r="I647" s="97">
        <v>9687</v>
      </c>
      <c r="J647" s="97">
        <v>10060</v>
      </c>
      <c r="K647" s="87">
        <v>5548</v>
      </c>
      <c r="L647" s="87">
        <v>10189</v>
      </c>
      <c r="M647" s="87">
        <v>9729</v>
      </c>
      <c r="N647" s="87">
        <v>9838</v>
      </c>
      <c r="O647" s="87">
        <v>10211</v>
      </c>
      <c r="P647" s="88">
        <f>SUM(D647:O647)</f>
        <v>109996</v>
      </c>
    </row>
    <row r="648" spans="2:17" ht="9" hidden="1" customHeight="1" x14ac:dyDescent="0.25">
      <c r="B648" s="89"/>
      <c r="C648" s="86" t="s">
        <v>23</v>
      </c>
      <c r="D648" s="99">
        <v>95</v>
      </c>
      <c r="E648" s="99">
        <v>75</v>
      </c>
      <c r="F648" s="87">
        <v>148</v>
      </c>
      <c r="G648" s="100">
        <v>144</v>
      </c>
      <c r="H648" s="87">
        <v>129</v>
      </c>
      <c r="I648" s="97">
        <v>135</v>
      </c>
      <c r="J648" s="98">
        <v>117</v>
      </c>
      <c r="K648" s="90">
        <v>81</v>
      </c>
      <c r="L648" s="90">
        <v>114</v>
      </c>
      <c r="M648" s="90">
        <v>83</v>
      </c>
      <c r="N648" s="90">
        <v>94</v>
      </c>
      <c r="O648" s="90">
        <v>79</v>
      </c>
      <c r="P648" s="88">
        <f>SUM(D648:O648)</f>
        <v>1294</v>
      </c>
    </row>
    <row r="649" spans="2:17" ht="6" hidden="1" customHeight="1" x14ac:dyDescent="0.25">
      <c r="G649" s="91"/>
      <c r="L649" s="91"/>
      <c r="P649" s="46"/>
      <c r="Q649" s="114"/>
    </row>
    <row r="650" spans="2:17" hidden="1" x14ac:dyDescent="0.25">
      <c r="B650" s="92" t="s">
        <v>25</v>
      </c>
      <c r="C650" s="93"/>
      <c r="D650" s="83">
        <f>SUM(D651:D653)</f>
        <v>7619</v>
      </c>
      <c r="E650" s="83">
        <f>SUM(E651:E653)</f>
        <v>7640</v>
      </c>
      <c r="F650" s="83">
        <f t="shared" ref="F650:O650" si="168">SUM(F651:F653)</f>
        <v>8469</v>
      </c>
      <c r="G650" s="83">
        <f t="shared" si="168"/>
        <v>9124</v>
      </c>
      <c r="H650" s="83">
        <f t="shared" si="168"/>
        <v>9236</v>
      </c>
      <c r="I650" s="83">
        <f t="shared" si="168"/>
        <v>7505</v>
      </c>
      <c r="J650" s="83">
        <f t="shared" si="168"/>
        <v>8318</v>
      </c>
      <c r="K650" s="83">
        <f t="shared" si="168"/>
        <v>6784</v>
      </c>
      <c r="L650" s="83">
        <f t="shared" si="168"/>
        <v>10820</v>
      </c>
      <c r="M650" s="83">
        <f t="shared" si="168"/>
        <v>9834</v>
      </c>
      <c r="N650" s="83">
        <f t="shared" si="168"/>
        <v>8997</v>
      </c>
      <c r="O650" s="83">
        <f t="shared" si="168"/>
        <v>9648</v>
      </c>
      <c r="P650" s="83">
        <f>SUM(P651:P653)</f>
        <v>103994</v>
      </c>
    </row>
    <row r="651" spans="2:17" ht="9" hidden="1" customHeight="1" x14ac:dyDescent="0.25">
      <c r="B651" s="85"/>
      <c r="C651" s="86" t="s">
        <v>199</v>
      </c>
      <c r="D651" s="87">
        <v>926</v>
      </c>
      <c r="E651" s="87">
        <v>999</v>
      </c>
      <c r="F651" s="87">
        <v>1072</v>
      </c>
      <c r="G651" s="87">
        <v>1075</v>
      </c>
      <c r="H651" s="87">
        <v>923</v>
      </c>
      <c r="I651" s="87">
        <v>828</v>
      </c>
      <c r="J651" s="87">
        <v>683</v>
      </c>
      <c r="K651" s="87">
        <v>574</v>
      </c>
      <c r="L651" s="87">
        <v>629</v>
      </c>
      <c r="M651" s="87">
        <v>616</v>
      </c>
      <c r="N651" s="87">
        <v>617</v>
      </c>
      <c r="O651" s="87">
        <v>534</v>
      </c>
      <c r="P651" s="88">
        <f>SUM(D651:O651)</f>
        <v>9476</v>
      </c>
    </row>
    <row r="652" spans="2:17" ht="9" hidden="1" customHeight="1" x14ac:dyDescent="0.25">
      <c r="B652" s="85"/>
      <c r="C652" s="86" t="s">
        <v>26</v>
      </c>
      <c r="D652" s="87">
        <v>6013</v>
      </c>
      <c r="E652" s="87">
        <v>5612</v>
      </c>
      <c r="F652" s="87">
        <v>6396</v>
      </c>
      <c r="G652" s="87">
        <v>7036</v>
      </c>
      <c r="H652" s="87">
        <v>7189</v>
      </c>
      <c r="I652" s="87">
        <v>5676</v>
      </c>
      <c r="J652" s="87">
        <v>5973</v>
      </c>
      <c r="K652" s="87">
        <v>5134</v>
      </c>
      <c r="L652" s="87">
        <v>8149</v>
      </c>
      <c r="M652" s="87">
        <v>7192</v>
      </c>
      <c r="N652" s="87">
        <v>6467</v>
      </c>
      <c r="O652" s="87">
        <v>6971</v>
      </c>
      <c r="P652" s="88">
        <f>SUM(D652:O652)</f>
        <v>77808</v>
      </c>
    </row>
    <row r="653" spans="2:17" ht="9" hidden="1" customHeight="1" x14ac:dyDescent="0.25">
      <c r="B653" s="89"/>
      <c r="C653" s="86" t="s">
        <v>23</v>
      </c>
      <c r="D653" s="90">
        <v>680</v>
      </c>
      <c r="E653" s="90">
        <v>1029</v>
      </c>
      <c r="F653" s="90">
        <v>1001</v>
      </c>
      <c r="G653" s="90">
        <v>1013</v>
      </c>
      <c r="H653" s="90">
        <v>1124</v>
      </c>
      <c r="I653" s="90">
        <v>1001</v>
      </c>
      <c r="J653" s="90">
        <v>1662</v>
      </c>
      <c r="K653" s="90">
        <v>1076</v>
      </c>
      <c r="L653" s="90">
        <v>2042</v>
      </c>
      <c r="M653" s="90">
        <v>2026</v>
      </c>
      <c r="N653" s="90">
        <v>1913</v>
      </c>
      <c r="O653" s="90">
        <v>2143</v>
      </c>
      <c r="P653" s="88">
        <f>SUM(D653:O653)</f>
        <v>16710</v>
      </c>
    </row>
    <row r="654" spans="2:17" ht="6" hidden="1" customHeight="1" x14ac:dyDescent="0.25">
      <c r="P654" s="339"/>
    </row>
    <row r="655" spans="2:17" hidden="1" x14ac:dyDescent="0.25">
      <c r="B655" s="92" t="s">
        <v>43</v>
      </c>
      <c r="C655" s="93"/>
      <c r="D655" s="83">
        <f t="shared" ref="D655:O655" si="169">SUM(D656:D657)</f>
        <v>544</v>
      </c>
      <c r="E655" s="83">
        <v>1641</v>
      </c>
      <c r="F655" s="83">
        <f t="shared" si="169"/>
        <v>1019</v>
      </c>
      <c r="G655" s="83">
        <f t="shared" si="169"/>
        <v>756</v>
      </c>
      <c r="H655" s="83">
        <f t="shared" si="169"/>
        <v>574</v>
      </c>
      <c r="I655" s="83">
        <f t="shared" si="169"/>
        <v>450</v>
      </c>
      <c r="J655" s="83">
        <f t="shared" si="169"/>
        <v>469</v>
      </c>
      <c r="K655" s="83">
        <f t="shared" si="169"/>
        <v>613</v>
      </c>
      <c r="L655" s="83">
        <f t="shared" si="169"/>
        <v>1561</v>
      </c>
      <c r="M655" s="83">
        <f>M656+M657</f>
        <v>1241</v>
      </c>
      <c r="N655" s="83">
        <f t="shared" si="169"/>
        <v>739</v>
      </c>
      <c r="O655" s="83">
        <f t="shared" si="169"/>
        <v>734</v>
      </c>
      <c r="P655" s="83">
        <f>SUM(D655:O655)</f>
        <v>10341</v>
      </c>
    </row>
    <row r="656" spans="2:17" ht="9" hidden="1" customHeight="1" x14ac:dyDescent="0.25">
      <c r="B656" s="85"/>
      <c r="C656" s="86" t="s">
        <v>207</v>
      </c>
      <c r="D656" s="99">
        <v>452</v>
      </c>
      <c r="E656" s="99">
        <v>1028</v>
      </c>
      <c r="F656" s="87">
        <v>378</v>
      </c>
      <c r="G656" s="100">
        <v>276</v>
      </c>
      <c r="H656" s="87">
        <v>243</v>
      </c>
      <c r="I656" s="97">
        <v>243</v>
      </c>
      <c r="J656" s="97">
        <v>170</v>
      </c>
      <c r="K656" s="87">
        <v>191</v>
      </c>
      <c r="L656" s="87">
        <v>425</v>
      </c>
      <c r="M656" s="87">
        <v>387</v>
      </c>
      <c r="N656" s="87">
        <v>299</v>
      </c>
      <c r="O656" s="87">
        <v>277</v>
      </c>
      <c r="P656" s="88">
        <f>SUM(D656:O656)</f>
        <v>4369</v>
      </c>
    </row>
    <row r="657" spans="2:17" ht="9" hidden="1" customHeight="1" x14ac:dyDescent="0.25">
      <c r="B657" s="89"/>
      <c r="C657" s="86" t="s">
        <v>208</v>
      </c>
      <c r="D657" s="99">
        <v>92</v>
      </c>
      <c r="E657" s="99">
        <v>613</v>
      </c>
      <c r="F657" s="87">
        <v>641</v>
      </c>
      <c r="G657" s="100">
        <v>480</v>
      </c>
      <c r="H657" s="87">
        <v>331</v>
      </c>
      <c r="I657" s="97">
        <v>207</v>
      </c>
      <c r="J657" s="98">
        <v>299</v>
      </c>
      <c r="K657" s="90">
        <v>422</v>
      </c>
      <c r="L657" s="90">
        <v>1136</v>
      </c>
      <c r="M657" s="90">
        <v>854</v>
      </c>
      <c r="N657" s="90">
        <v>440</v>
      </c>
      <c r="O657" s="90">
        <v>457</v>
      </c>
      <c r="P657" s="88">
        <f>SUM(D657:O657)</f>
        <v>5972</v>
      </c>
    </row>
    <row r="658" spans="2:17" ht="9" hidden="1" customHeight="1" x14ac:dyDescent="0.25">
      <c r="D658" s="341"/>
      <c r="E658" s="341"/>
      <c r="F658" s="341"/>
      <c r="G658" s="341"/>
      <c r="I658" s="341"/>
      <c r="P658" s="339"/>
    </row>
    <row r="659" spans="2:17" hidden="1" x14ac:dyDescent="0.25">
      <c r="B659" s="81" t="s">
        <v>8</v>
      </c>
      <c r="C659" s="82"/>
      <c r="D659" s="83">
        <v>1872</v>
      </c>
      <c r="E659" s="83">
        <v>1333</v>
      </c>
      <c r="F659" s="83">
        <v>1497</v>
      </c>
      <c r="G659" s="83">
        <v>1695</v>
      </c>
      <c r="H659" s="83">
        <f t="shared" ref="H659:O659" si="170">SUM(H660:H661)</f>
        <v>7809</v>
      </c>
      <c r="I659" s="83">
        <f t="shared" si="170"/>
        <v>10423</v>
      </c>
      <c r="J659" s="83">
        <f t="shared" si="170"/>
        <v>7989</v>
      </c>
      <c r="K659" s="83">
        <f t="shared" si="170"/>
        <v>4070</v>
      </c>
      <c r="L659" s="83">
        <f t="shared" si="170"/>
        <v>6175</v>
      </c>
      <c r="M659" s="83">
        <f t="shared" si="170"/>
        <v>7765</v>
      </c>
      <c r="N659" s="83">
        <f t="shared" si="170"/>
        <v>8122</v>
      </c>
      <c r="O659" s="83">
        <f t="shared" si="170"/>
        <v>9632</v>
      </c>
      <c r="P659" s="83">
        <f>SUM(D659:O659)</f>
        <v>68382</v>
      </c>
    </row>
    <row r="660" spans="2:17" ht="9" hidden="1" customHeight="1" x14ac:dyDescent="0.25">
      <c r="B660" s="85"/>
      <c r="C660" s="86" t="s">
        <v>209</v>
      </c>
      <c r="D660" s="99">
        <v>1872</v>
      </c>
      <c r="E660" s="99">
        <v>1333</v>
      </c>
      <c r="F660" s="87">
        <v>1497</v>
      </c>
      <c r="G660" s="100">
        <v>1695</v>
      </c>
      <c r="H660" s="87">
        <v>2033</v>
      </c>
      <c r="I660" s="97">
        <v>1477</v>
      </c>
      <c r="J660" s="97">
        <v>541</v>
      </c>
      <c r="K660" s="87">
        <v>5</v>
      </c>
      <c r="L660" s="87">
        <v>0</v>
      </c>
      <c r="M660" s="87">
        <v>0</v>
      </c>
      <c r="N660" s="87">
        <v>0</v>
      </c>
      <c r="O660" s="87">
        <v>0</v>
      </c>
      <c r="P660" s="88">
        <f>SUM(D660:O660)</f>
        <v>10453</v>
      </c>
    </row>
    <row r="661" spans="2:17" ht="9" hidden="1" customHeight="1" x14ac:dyDescent="0.25">
      <c r="B661" s="89"/>
      <c r="C661" s="86" t="s">
        <v>210</v>
      </c>
      <c r="D661" s="99"/>
      <c r="E661" s="99"/>
      <c r="F661" s="87"/>
      <c r="G661" s="100"/>
      <c r="H661" s="87">
        <v>5776</v>
      </c>
      <c r="I661" s="97">
        <v>8946</v>
      </c>
      <c r="J661" s="98">
        <v>7448</v>
      </c>
      <c r="K661" s="90">
        <v>4065</v>
      </c>
      <c r="L661" s="90">
        <v>6175</v>
      </c>
      <c r="M661" s="90">
        <v>7765</v>
      </c>
      <c r="N661" s="90">
        <v>8122</v>
      </c>
      <c r="O661" s="90">
        <v>9632</v>
      </c>
      <c r="P661" s="88">
        <f>SUM(D661:O661)</f>
        <v>57929</v>
      </c>
    </row>
    <row r="662" spans="2:17" hidden="1" x14ac:dyDescent="0.25">
      <c r="P662" s="46"/>
      <c r="Q662" s="114"/>
    </row>
    <row r="663" spans="2:17" ht="15" hidden="1" thickBot="1" x14ac:dyDescent="0.3">
      <c r="B663" s="18" t="s">
        <v>203</v>
      </c>
      <c r="C663" s="18"/>
    </row>
    <row r="664" spans="2:17" ht="12.75" hidden="1" customHeight="1" thickBot="1" x14ac:dyDescent="0.3">
      <c r="B664" s="435" t="s">
        <v>1</v>
      </c>
      <c r="C664" s="436"/>
      <c r="D664" s="21">
        <v>1</v>
      </c>
      <c r="E664" s="22">
        <v>2</v>
      </c>
      <c r="F664" s="22">
        <v>3</v>
      </c>
      <c r="G664" s="22">
        <v>4</v>
      </c>
      <c r="H664" s="22">
        <v>5</v>
      </c>
      <c r="I664" s="22">
        <v>6</v>
      </c>
      <c r="J664" s="22">
        <v>7</v>
      </c>
      <c r="K664" s="22">
        <v>8</v>
      </c>
      <c r="L664" s="22">
        <v>9</v>
      </c>
      <c r="M664" s="22">
        <v>10</v>
      </c>
      <c r="N664" s="22">
        <v>11</v>
      </c>
      <c r="O664" s="22">
        <v>12</v>
      </c>
      <c r="P664" s="23" t="s">
        <v>0</v>
      </c>
    </row>
    <row r="665" spans="2:17" ht="12.75" hidden="1" customHeight="1" x14ac:dyDescent="0.25">
      <c r="B665" s="438" t="s">
        <v>204</v>
      </c>
      <c r="C665" s="24" t="s">
        <v>205</v>
      </c>
      <c r="D665" s="25">
        <v>168</v>
      </c>
      <c r="E665" s="26">
        <v>150</v>
      </c>
      <c r="F665" s="25">
        <v>44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7">
        <f t="shared" ref="P665:P676" si="171">SUM(D665:O665)</f>
        <v>362</v>
      </c>
      <c r="Q665" s="337"/>
    </row>
    <row r="666" spans="2:17" ht="12.75" hidden="1" customHeight="1" x14ac:dyDescent="0.25">
      <c r="B666" s="438"/>
      <c r="C666" s="28" t="s">
        <v>206</v>
      </c>
      <c r="D666" s="29">
        <v>30</v>
      </c>
      <c r="E666" s="30">
        <v>1</v>
      </c>
      <c r="F666" s="29">
        <v>0</v>
      </c>
      <c r="G666" s="30">
        <v>0</v>
      </c>
      <c r="H666" s="30">
        <v>0</v>
      </c>
      <c r="I666" s="30">
        <v>0</v>
      </c>
      <c r="J666" s="30">
        <v>0</v>
      </c>
      <c r="K666" s="30">
        <v>0</v>
      </c>
      <c r="L666" s="30">
        <v>0</v>
      </c>
      <c r="M666" s="30">
        <v>0</v>
      </c>
      <c r="N666" s="30">
        <v>0</v>
      </c>
      <c r="O666" s="30">
        <v>0</v>
      </c>
      <c r="P666" s="31">
        <f t="shared" si="171"/>
        <v>31</v>
      </c>
      <c r="Q666" s="337"/>
    </row>
    <row r="667" spans="2:17" ht="12.75" hidden="1" customHeight="1" x14ac:dyDescent="0.25">
      <c r="B667" s="438"/>
      <c r="C667" s="28" t="s">
        <v>21</v>
      </c>
      <c r="D667" s="29">
        <v>2176</v>
      </c>
      <c r="E667" s="30">
        <v>1205</v>
      </c>
      <c r="F667" s="29">
        <v>968</v>
      </c>
      <c r="G667" s="30">
        <v>1950</v>
      </c>
      <c r="H667" s="30">
        <v>2101</v>
      </c>
      <c r="I667" s="30">
        <v>1610</v>
      </c>
      <c r="J667" s="30">
        <v>2701</v>
      </c>
      <c r="K667" s="30">
        <v>2362</v>
      </c>
      <c r="L667" s="30">
        <v>2255</v>
      </c>
      <c r="M667" s="30">
        <v>2326</v>
      </c>
      <c r="N667" s="30">
        <v>2284</v>
      </c>
      <c r="O667" s="30">
        <v>1964</v>
      </c>
      <c r="P667" s="31">
        <f t="shared" si="171"/>
        <v>23902</v>
      </c>
      <c r="Q667" s="337"/>
    </row>
    <row r="668" spans="2:17" ht="12.75" hidden="1" customHeight="1" x14ac:dyDescent="0.25">
      <c r="B668" s="438"/>
      <c r="C668" s="74" t="s">
        <v>22</v>
      </c>
      <c r="D668" s="75">
        <v>0</v>
      </c>
      <c r="E668" s="76">
        <v>0</v>
      </c>
      <c r="F668" s="75">
        <v>0</v>
      </c>
      <c r="G668" s="76">
        <v>1217</v>
      </c>
      <c r="H668" s="76">
        <v>1854</v>
      </c>
      <c r="I668" s="76">
        <v>1611</v>
      </c>
      <c r="J668" s="76">
        <v>1453</v>
      </c>
      <c r="K668" s="76">
        <v>1183</v>
      </c>
      <c r="L668" s="76">
        <v>1158</v>
      </c>
      <c r="M668" s="76">
        <v>918</v>
      </c>
      <c r="N668" s="76">
        <v>1022</v>
      </c>
      <c r="O668" s="76">
        <v>530</v>
      </c>
      <c r="P668" s="77">
        <f t="shared" si="171"/>
        <v>10946</v>
      </c>
      <c r="Q668" s="337"/>
    </row>
    <row r="669" spans="2:17" ht="12.75" hidden="1" customHeight="1" x14ac:dyDescent="0.25">
      <c r="B669" s="438"/>
      <c r="C669" s="74" t="s">
        <v>24</v>
      </c>
      <c r="D669" s="75">
        <f>D690</f>
        <v>13530</v>
      </c>
      <c r="E669" s="75">
        <f t="shared" ref="E669:O669" si="172">E690</f>
        <v>7384</v>
      </c>
      <c r="F669" s="75">
        <f t="shared" si="172"/>
        <v>12155</v>
      </c>
      <c r="G669" s="75">
        <f t="shared" si="172"/>
        <v>10186</v>
      </c>
      <c r="H669" s="75">
        <f t="shared" si="172"/>
        <v>10401</v>
      </c>
      <c r="I669" s="75">
        <f t="shared" si="172"/>
        <v>11113</v>
      </c>
      <c r="J669" s="75">
        <f t="shared" si="172"/>
        <v>11050</v>
      </c>
      <c r="K669" s="75">
        <f t="shared" si="172"/>
        <v>10283</v>
      </c>
      <c r="L669" s="75">
        <f t="shared" si="172"/>
        <v>11406</v>
      </c>
      <c r="M669" s="75">
        <f t="shared" si="172"/>
        <v>12625</v>
      </c>
      <c r="N669" s="75">
        <f t="shared" si="172"/>
        <v>10354</v>
      </c>
      <c r="O669" s="75">
        <f t="shared" si="172"/>
        <v>10500</v>
      </c>
      <c r="P669" s="77">
        <f t="shared" si="171"/>
        <v>130987</v>
      </c>
      <c r="Q669" s="337"/>
    </row>
    <row r="670" spans="2:17" ht="12.75" hidden="1" customHeight="1" x14ac:dyDescent="0.25">
      <c r="B670" s="438"/>
      <c r="C670" s="28" t="s">
        <v>3</v>
      </c>
      <c r="D670" s="29">
        <v>330</v>
      </c>
      <c r="E670" s="30">
        <v>214</v>
      </c>
      <c r="F670" s="29">
        <v>195</v>
      </c>
      <c r="G670" s="30">
        <v>585</v>
      </c>
      <c r="H670" s="30">
        <v>152</v>
      </c>
      <c r="I670" s="30">
        <v>206</v>
      </c>
      <c r="J670" s="30">
        <v>226</v>
      </c>
      <c r="K670" s="30">
        <v>154</v>
      </c>
      <c r="L670" s="30">
        <v>347</v>
      </c>
      <c r="M670" s="30">
        <v>226</v>
      </c>
      <c r="N670" s="30">
        <v>129</v>
      </c>
      <c r="O670" s="30">
        <v>1599</v>
      </c>
      <c r="P670" s="31">
        <f t="shared" si="171"/>
        <v>4363</v>
      </c>
      <c r="Q670" s="337"/>
    </row>
    <row r="671" spans="2:17" ht="12.75" hidden="1" customHeight="1" x14ac:dyDescent="0.25">
      <c r="B671" s="438"/>
      <c r="C671" s="72" t="s">
        <v>25</v>
      </c>
      <c r="D671" s="73">
        <f>D694</f>
        <v>8040</v>
      </c>
      <c r="E671" s="73">
        <f t="shared" ref="E671:L671" si="173">E694</f>
        <v>7498</v>
      </c>
      <c r="F671" s="73">
        <f t="shared" si="173"/>
        <v>9514</v>
      </c>
      <c r="G671" s="73">
        <f t="shared" si="173"/>
        <v>8543</v>
      </c>
      <c r="H671" s="73">
        <f t="shared" si="173"/>
        <v>7434</v>
      </c>
      <c r="I671" s="73">
        <f t="shared" si="173"/>
        <v>9102</v>
      </c>
      <c r="J671" s="73">
        <f t="shared" si="173"/>
        <v>8867</v>
      </c>
      <c r="K671" s="73">
        <f t="shared" si="173"/>
        <v>8583</v>
      </c>
      <c r="L671" s="73">
        <f t="shared" si="173"/>
        <v>9951</v>
      </c>
      <c r="M671" s="73">
        <f>M694</f>
        <v>8791</v>
      </c>
      <c r="N671" s="73">
        <f>N694</f>
        <v>8597</v>
      </c>
      <c r="O671" s="73">
        <f>O694</f>
        <v>9160</v>
      </c>
      <c r="P671" s="340">
        <f t="shared" si="171"/>
        <v>104080</v>
      </c>
      <c r="Q671" s="337"/>
    </row>
    <row r="672" spans="2:17" ht="12.75" hidden="1" customHeight="1" x14ac:dyDescent="0.25">
      <c r="B672" s="438"/>
      <c r="C672" s="72" t="s">
        <v>43</v>
      </c>
      <c r="D672" s="73"/>
      <c r="E672" s="73"/>
      <c r="F672" s="73"/>
      <c r="G672" s="73"/>
      <c r="H672" s="73"/>
      <c r="I672" s="73"/>
      <c r="J672" s="73"/>
      <c r="K672" s="73"/>
      <c r="L672" s="73">
        <v>0</v>
      </c>
      <c r="M672" s="73">
        <v>542</v>
      </c>
      <c r="N672" s="73">
        <v>410</v>
      </c>
      <c r="O672" s="73">
        <v>344</v>
      </c>
      <c r="P672" s="340">
        <f t="shared" si="171"/>
        <v>1296</v>
      </c>
      <c r="Q672" s="337"/>
    </row>
    <row r="673" spans="2:18" ht="12.75" hidden="1" customHeight="1" x14ac:dyDescent="0.25">
      <c r="B673" s="438"/>
      <c r="C673" s="72" t="s">
        <v>27</v>
      </c>
      <c r="D673" s="73">
        <f>D699</f>
        <v>606</v>
      </c>
      <c r="E673" s="73">
        <f t="shared" ref="E673:O673" si="174">E699</f>
        <v>266</v>
      </c>
      <c r="F673" s="73">
        <f t="shared" si="174"/>
        <v>262</v>
      </c>
      <c r="G673" s="73">
        <f t="shared" si="174"/>
        <v>276</v>
      </c>
      <c r="H673" s="73">
        <f t="shared" si="174"/>
        <v>130</v>
      </c>
      <c r="I673" s="73">
        <f t="shared" si="174"/>
        <v>321</v>
      </c>
      <c r="J673" s="73">
        <f t="shared" si="174"/>
        <v>32</v>
      </c>
      <c r="K673" s="73">
        <f t="shared" si="174"/>
        <v>1</v>
      </c>
      <c r="L673" s="73">
        <f t="shared" si="174"/>
        <v>0</v>
      </c>
      <c r="M673" s="73">
        <f t="shared" si="174"/>
        <v>0</v>
      </c>
      <c r="N673" s="73">
        <f t="shared" si="174"/>
        <v>0</v>
      </c>
      <c r="O673" s="73">
        <f t="shared" si="174"/>
        <v>0</v>
      </c>
      <c r="P673" s="340">
        <f t="shared" si="171"/>
        <v>1894</v>
      </c>
      <c r="Q673" s="337"/>
    </row>
    <row r="674" spans="2:18" ht="12.75" hidden="1" customHeight="1" x14ac:dyDescent="0.25">
      <c r="B674" s="438"/>
      <c r="C674" s="28" t="s">
        <v>4</v>
      </c>
      <c r="D674" s="29">
        <v>1626</v>
      </c>
      <c r="E674" s="30">
        <v>697</v>
      </c>
      <c r="F674" s="29">
        <v>2968</v>
      </c>
      <c r="G674" s="30">
        <v>2687</v>
      </c>
      <c r="H674" s="30">
        <v>2253</v>
      </c>
      <c r="I674" s="30">
        <v>2184</v>
      </c>
      <c r="J674" s="30">
        <v>1978</v>
      </c>
      <c r="K674" s="30">
        <v>1894</v>
      </c>
      <c r="L674" s="30">
        <v>1640</v>
      </c>
      <c r="M674" s="30">
        <v>1517</v>
      </c>
      <c r="N674" s="30">
        <v>1415</v>
      </c>
      <c r="O674" s="30">
        <v>2229</v>
      </c>
      <c r="P674" s="31">
        <f t="shared" si="171"/>
        <v>23088</v>
      </c>
      <c r="Q674" s="337"/>
    </row>
    <row r="675" spans="2:18" ht="12.75" hidden="1" customHeight="1" x14ac:dyDescent="0.25">
      <c r="B675" s="438"/>
      <c r="C675" s="28" t="s">
        <v>5</v>
      </c>
      <c r="D675" s="29">
        <v>143</v>
      </c>
      <c r="E675" s="30">
        <v>197</v>
      </c>
      <c r="F675" s="29">
        <v>349</v>
      </c>
      <c r="G675" s="30">
        <v>158</v>
      </c>
      <c r="H675" s="30">
        <v>59</v>
      </c>
      <c r="I675" s="30">
        <v>75</v>
      </c>
      <c r="J675" s="30">
        <v>92</v>
      </c>
      <c r="K675" s="30">
        <v>92</v>
      </c>
      <c r="L675" s="30">
        <v>70</v>
      </c>
      <c r="M675" s="30">
        <v>75</v>
      </c>
      <c r="N675" s="30">
        <v>95</v>
      </c>
      <c r="O675" s="30">
        <v>163</v>
      </c>
      <c r="P675" s="31">
        <f t="shared" si="171"/>
        <v>1568</v>
      </c>
      <c r="Q675" s="337"/>
    </row>
    <row r="676" spans="2:18" ht="12.75" hidden="1" customHeight="1" x14ac:dyDescent="0.25">
      <c r="B676" s="438"/>
      <c r="C676" s="28" t="s">
        <v>6</v>
      </c>
      <c r="D676" s="29">
        <v>1028</v>
      </c>
      <c r="E676" s="30">
        <v>472</v>
      </c>
      <c r="F676" s="29">
        <v>1552</v>
      </c>
      <c r="G676" s="30">
        <v>1383</v>
      </c>
      <c r="H676" s="30">
        <v>1443</v>
      </c>
      <c r="I676" s="30">
        <v>1456</v>
      </c>
      <c r="J676" s="30">
        <v>1362</v>
      </c>
      <c r="K676" s="30">
        <v>1171</v>
      </c>
      <c r="L676" s="30">
        <v>996</v>
      </c>
      <c r="M676" s="30">
        <v>819</v>
      </c>
      <c r="N676" s="30">
        <v>718</v>
      </c>
      <c r="O676" s="30">
        <v>1089</v>
      </c>
      <c r="P676" s="31">
        <f t="shared" si="171"/>
        <v>13489</v>
      </c>
      <c r="Q676" s="337"/>
    </row>
    <row r="677" spans="2:18" ht="12.75" hidden="1" customHeight="1" x14ac:dyDescent="0.25">
      <c r="B677" s="444"/>
      <c r="C677" s="35" t="s">
        <v>0</v>
      </c>
      <c r="D677" s="36">
        <f t="shared" ref="D677:P677" si="175">SUM(D665:D676)</f>
        <v>27677</v>
      </c>
      <c r="E677" s="36">
        <f t="shared" si="175"/>
        <v>18084</v>
      </c>
      <c r="F677" s="36">
        <f t="shared" si="175"/>
        <v>28007</v>
      </c>
      <c r="G677" s="36">
        <f t="shared" si="175"/>
        <v>26985</v>
      </c>
      <c r="H677" s="36">
        <f t="shared" si="175"/>
        <v>25827</v>
      </c>
      <c r="I677" s="36">
        <f t="shared" si="175"/>
        <v>27678</v>
      </c>
      <c r="J677" s="36">
        <f t="shared" si="175"/>
        <v>27761</v>
      </c>
      <c r="K677" s="36">
        <f t="shared" si="175"/>
        <v>25723</v>
      </c>
      <c r="L677" s="36">
        <f t="shared" si="175"/>
        <v>27823</v>
      </c>
      <c r="M677" s="36">
        <f t="shared" si="175"/>
        <v>27839</v>
      </c>
      <c r="N677" s="36">
        <f t="shared" si="175"/>
        <v>25024</v>
      </c>
      <c r="O677" s="36">
        <f t="shared" si="175"/>
        <v>27578</v>
      </c>
      <c r="P677" s="37">
        <f t="shared" si="175"/>
        <v>316006</v>
      </c>
      <c r="Q677" s="337"/>
    </row>
    <row r="678" spans="2:18" ht="12.75" hidden="1" customHeight="1" x14ac:dyDescent="0.25">
      <c r="B678" s="433"/>
      <c r="C678" s="28" t="s">
        <v>7</v>
      </c>
      <c r="D678" s="29">
        <v>3595</v>
      </c>
      <c r="E678" s="30">
        <v>3385</v>
      </c>
      <c r="F678" s="30">
        <v>3392</v>
      </c>
      <c r="G678" s="30">
        <v>3237</v>
      </c>
      <c r="H678" s="30">
        <v>4003</v>
      </c>
      <c r="I678" s="30">
        <v>3626</v>
      </c>
      <c r="J678" s="30">
        <v>3830</v>
      </c>
      <c r="K678" s="30">
        <v>3677</v>
      </c>
      <c r="L678" s="30">
        <v>3685</v>
      </c>
      <c r="M678" s="30">
        <v>3299</v>
      </c>
      <c r="N678" s="30">
        <v>3683</v>
      </c>
      <c r="O678" s="30">
        <v>3776</v>
      </c>
      <c r="P678" s="31">
        <f>SUM(D678:O678)</f>
        <v>43188</v>
      </c>
    </row>
    <row r="679" spans="2:18" ht="12.75" hidden="1" customHeight="1" x14ac:dyDescent="0.25">
      <c r="B679" s="433"/>
      <c r="C679" s="28" t="s">
        <v>8</v>
      </c>
      <c r="D679" s="29">
        <v>2014</v>
      </c>
      <c r="E679" s="30">
        <v>1740</v>
      </c>
      <c r="F679" s="30">
        <v>2381</v>
      </c>
      <c r="G679" s="30">
        <v>2228</v>
      </c>
      <c r="H679" s="30">
        <v>1917</v>
      </c>
      <c r="I679" s="30">
        <v>1823</v>
      </c>
      <c r="J679" s="30">
        <v>2684</v>
      </c>
      <c r="K679" s="30">
        <v>2654</v>
      </c>
      <c r="L679" s="30">
        <v>2319</v>
      </c>
      <c r="M679" s="30">
        <v>1724</v>
      </c>
      <c r="N679" s="30">
        <v>2216</v>
      </c>
      <c r="O679" s="30">
        <v>2396</v>
      </c>
      <c r="P679" s="31">
        <f>SUM(D679:O679)</f>
        <v>26096</v>
      </c>
    </row>
    <row r="680" spans="2:18" ht="12.75" hidden="1" customHeight="1" x14ac:dyDescent="0.25">
      <c r="B680" s="433"/>
      <c r="C680" s="28" t="s">
        <v>54</v>
      </c>
      <c r="D680" s="29">
        <v>1008</v>
      </c>
      <c r="E680" s="30">
        <v>671</v>
      </c>
      <c r="F680" s="30">
        <v>679</v>
      </c>
      <c r="G680" s="30">
        <v>672</v>
      </c>
      <c r="H680" s="30">
        <v>581</v>
      </c>
      <c r="I680" s="30">
        <v>511</v>
      </c>
      <c r="J680" s="30">
        <v>531</v>
      </c>
      <c r="K680" s="30">
        <v>561</v>
      </c>
      <c r="L680" s="30">
        <v>448</v>
      </c>
      <c r="M680" s="30">
        <v>491</v>
      </c>
      <c r="N680" s="30">
        <v>671</v>
      </c>
      <c r="O680" s="30">
        <v>706</v>
      </c>
      <c r="P680" s="31">
        <f>SUM(D680:O680)</f>
        <v>7530</v>
      </c>
      <c r="R680" s="341"/>
    </row>
    <row r="681" spans="2:18" ht="12.75" hidden="1" customHeight="1" thickBot="1" x14ac:dyDescent="0.3">
      <c r="B681" s="439"/>
      <c r="C681" s="35" t="s">
        <v>0</v>
      </c>
      <c r="D681" s="36">
        <f t="shared" ref="D681:P681" si="176">SUM(D678:D680)</f>
        <v>6617</v>
      </c>
      <c r="E681" s="36">
        <f t="shared" si="176"/>
        <v>5796</v>
      </c>
      <c r="F681" s="36">
        <f t="shared" si="176"/>
        <v>6452</v>
      </c>
      <c r="G681" s="36">
        <f t="shared" si="176"/>
        <v>6137</v>
      </c>
      <c r="H681" s="36">
        <f t="shared" si="176"/>
        <v>6501</v>
      </c>
      <c r="I681" s="36">
        <f t="shared" si="176"/>
        <v>5960</v>
      </c>
      <c r="J681" s="36">
        <f t="shared" si="176"/>
        <v>7045</v>
      </c>
      <c r="K681" s="36">
        <f t="shared" si="176"/>
        <v>6892</v>
      </c>
      <c r="L681" s="36">
        <f t="shared" si="176"/>
        <v>6452</v>
      </c>
      <c r="M681" s="36">
        <f t="shared" si="176"/>
        <v>5514</v>
      </c>
      <c r="N681" s="36">
        <f t="shared" si="176"/>
        <v>6570</v>
      </c>
      <c r="O681" s="36">
        <f t="shared" si="176"/>
        <v>6878</v>
      </c>
      <c r="P681" s="37">
        <f t="shared" si="176"/>
        <v>76814</v>
      </c>
      <c r="Q681" s="337"/>
    </row>
    <row r="682" spans="2:18" ht="12.75" hidden="1" customHeight="1" x14ac:dyDescent="0.25">
      <c r="B682" s="429" t="s">
        <v>9</v>
      </c>
      <c r="C682" s="38" t="s">
        <v>11</v>
      </c>
      <c r="D682" s="39">
        <v>4284</v>
      </c>
      <c r="E682" s="40">
        <v>3762</v>
      </c>
      <c r="F682" s="40">
        <v>4473</v>
      </c>
      <c r="G682" s="40">
        <v>4649</v>
      </c>
      <c r="H682" s="40">
        <v>4164</v>
      </c>
      <c r="I682" s="40">
        <v>4477</v>
      </c>
      <c r="J682" s="40">
        <v>4766</v>
      </c>
      <c r="K682" s="40">
        <v>3689</v>
      </c>
      <c r="L682" s="40">
        <v>4338</v>
      </c>
      <c r="M682" s="40">
        <v>5175</v>
      </c>
      <c r="N682" s="40">
        <v>4301</v>
      </c>
      <c r="O682" s="40">
        <v>5164</v>
      </c>
      <c r="P682" s="41">
        <f>SUM(D682:O682)</f>
        <v>53242</v>
      </c>
      <c r="Q682" s="337"/>
    </row>
    <row r="683" spans="2:18" ht="12.75" hidden="1" customHeight="1" x14ac:dyDescent="0.25">
      <c r="B683" s="430"/>
      <c r="C683" s="24" t="s">
        <v>12</v>
      </c>
      <c r="D683" s="25">
        <v>8406</v>
      </c>
      <c r="E683" s="26">
        <v>7581</v>
      </c>
      <c r="F683" s="26">
        <v>9192</v>
      </c>
      <c r="G683" s="26">
        <v>8427</v>
      </c>
      <c r="H683" s="26">
        <v>8070</v>
      </c>
      <c r="I683" s="26">
        <v>8609</v>
      </c>
      <c r="J683" s="26">
        <v>8789</v>
      </c>
      <c r="K683" s="26">
        <v>7258</v>
      </c>
      <c r="L683" s="26">
        <v>7737</v>
      </c>
      <c r="M683" s="26">
        <v>8697</v>
      </c>
      <c r="N683" s="26">
        <v>8316</v>
      </c>
      <c r="O683" s="26">
        <v>8371</v>
      </c>
      <c r="P683" s="27">
        <f>SUM(D683:O683)</f>
        <v>99453</v>
      </c>
    </row>
    <row r="684" spans="2:18" ht="12.75" hidden="1" customHeight="1" thickBot="1" x14ac:dyDescent="0.3">
      <c r="B684" s="431"/>
      <c r="C684" s="42" t="s">
        <v>0</v>
      </c>
      <c r="D684" s="43">
        <f t="shared" ref="D684:P684" si="177">SUM(D682:D683)</f>
        <v>12690</v>
      </c>
      <c r="E684" s="43">
        <f t="shared" si="177"/>
        <v>11343</v>
      </c>
      <c r="F684" s="43">
        <f t="shared" si="177"/>
        <v>13665</v>
      </c>
      <c r="G684" s="43">
        <f t="shared" si="177"/>
        <v>13076</v>
      </c>
      <c r="H684" s="43">
        <f t="shared" si="177"/>
        <v>12234</v>
      </c>
      <c r="I684" s="43">
        <f t="shared" si="177"/>
        <v>13086</v>
      </c>
      <c r="J684" s="43">
        <f t="shared" si="177"/>
        <v>13555</v>
      </c>
      <c r="K684" s="43">
        <f t="shared" si="177"/>
        <v>10947</v>
      </c>
      <c r="L684" s="43">
        <f t="shared" si="177"/>
        <v>12075</v>
      </c>
      <c r="M684" s="43">
        <f t="shared" si="177"/>
        <v>13872</v>
      </c>
      <c r="N684" s="43">
        <f t="shared" si="177"/>
        <v>12617</v>
      </c>
      <c r="O684" s="43">
        <f t="shared" si="177"/>
        <v>13535</v>
      </c>
      <c r="P684" s="44">
        <f t="shared" si="177"/>
        <v>152695</v>
      </c>
    </row>
    <row r="685" spans="2:18" ht="12.75" hidden="1" customHeight="1" x14ac:dyDescent="0.25">
      <c r="B685" s="429" t="s">
        <v>10</v>
      </c>
      <c r="C685" s="38" t="s">
        <v>13</v>
      </c>
      <c r="D685" s="39">
        <v>627</v>
      </c>
      <c r="E685" s="40">
        <v>757</v>
      </c>
      <c r="F685" s="40">
        <v>798</v>
      </c>
      <c r="G685" s="40">
        <v>720</v>
      </c>
      <c r="H685" s="40">
        <v>655</v>
      </c>
      <c r="I685" s="40">
        <v>569</v>
      </c>
      <c r="J685" s="40">
        <v>594</v>
      </c>
      <c r="K685" s="40">
        <v>522</v>
      </c>
      <c r="L685" s="40">
        <v>675</v>
      </c>
      <c r="M685" s="40">
        <v>709</v>
      </c>
      <c r="N685" s="40">
        <v>664</v>
      </c>
      <c r="O685" s="40">
        <v>749</v>
      </c>
      <c r="P685" s="41">
        <f>SUM(D685:O685)</f>
        <v>8039</v>
      </c>
      <c r="Q685" s="337"/>
    </row>
    <row r="686" spans="2:18" ht="12.75" hidden="1" customHeight="1" x14ac:dyDescent="0.25">
      <c r="B686" s="430"/>
      <c r="C686" s="24" t="s">
        <v>14</v>
      </c>
      <c r="D686" s="25">
        <v>1775</v>
      </c>
      <c r="E686" s="26">
        <v>1944</v>
      </c>
      <c r="F686" s="26">
        <v>2211</v>
      </c>
      <c r="G686" s="26">
        <v>2129</v>
      </c>
      <c r="H686" s="26">
        <v>2082</v>
      </c>
      <c r="I686" s="26">
        <v>2030</v>
      </c>
      <c r="J686" s="26">
        <v>1984</v>
      </c>
      <c r="K686" s="26">
        <v>1780</v>
      </c>
      <c r="L686" s="26">
        <v>2067</v>
      </c>
      <c r="M686" s="26">
        <v>2341</v>
      </c>
      <c r="N686" s="26">
        <v>2041</v>
      </c>
      <c r="O686" s="26">
        <v>1942</v>
      </c>
      <c r="P686" s="27">
        <f>SUM(D686:O686)</f>
        <v>24326</v>
      </c>
    </row>
    <row r="687" spans="2:18" ht="12.75" hidden="1" customHeight="1" thickBot="1" x14ac:dyDescent="0.3">
      <c r="B687" s="431"/>
      <c r="C687" s="42" t="s">
        <v>0</v>
      </c>
      <c r="D687" s="43">
        <f t="shared" ref="D687:P687" si="178">SUM(D685:D686)</f>
        <v>2402</v>
      </c>
      <c r="E687" s="43">
        <f t="shared" si="178"/>
        <v>2701</v>
      </c>
      <c r="F687" s="43">
        <f t="shared" si="178"/>
        <v>3009</v>
      </c>
      <c r="G687" s="43">
        <f t="shared" si="178"/>
        <v>2849</v>
      </c>
      <c r="H687" s="43">
        <f t="shared" si="178"/>
        <v>2737</v>
      </c>
      <c r="I687" s="43">
        <f t="shared" si="178"/>
        <v>2599</v>
      </c>
      <c r="J687" s="43">
        <f t="shared" si="178"/>
        <v>2578</v>
      </c>
      <c r="K687" s="43">
        <f t="shared" si="178"/>
        <v>2302</v>
      </c>
      <c r="L687" s="43">
        <f t="shared" si="178"/>
        <v>2742</v>
      </c>
      <c r="M687" s="43">
        <f t="shared" si="178"/>
        <v>3050</v>
      </c>
      <c r="N687" s="43">
        <f t="shared" si="178"/>
        <v>2705</v>
      </c>
      <c r="O687" s="43">
        <f t="shared" si="178"/>
        <v>2691</v>
      </c>
      <c r="P687" s="44">
        <f t="shared" si="178"/>
        <v>32365</v>
      </c>
    </row>
    <row r="688" spans="2:18" ht="12.75" hidden="1" customHeight="1" thickBot="1" x14ac:dyDescent="0.3">
      <c r="B688" s="442" t="s">
        <v>2</v>
      </c>
      <c r="C688" s="443"/>
      <c r="D688" s="45">
        <f t="shared" ref="D688:P688" si="179">D677+D681+D687+D684</f>
        <v>49386</v>
      </c>
      <c r="E688" s="45">
        <f t="shared" si="179"/>
        <v>37924</v>
      </c>
      <c r="F688" s="45">
        <f t="shared" si="179"/>
        <v>51133</v>
      </c>
      <c r="G688" s="45">
        <f t="shared" si="179"/>
        <v>49047</v>
      </c>
      <c r="H688" s="45">
        <f t="shared" si="179"/>
        <v>47299</v>
      </c>
      <c r="I688" s="45">
        <f t="shared" si="179"/>
        <v>49323</v>
      </c>
      <c r="J688" s="45">
        <f t="shared" si="179"/>
        <v>50939</v>
      </c>
      <c r="K688" s="45">
        <f t="shared" si="179"/>
        <v>45864</v>
      </c>
      <c r="L688" s="45">
        <f t="shared" si="179"/>
        <v>49092</v>
      </c>
      <c r="M688" s="45">
        <f t="shared" si="179"/>
        <v>50275</v>
      </c>
      <c r="N688" s="45">
        <f t="shared" si="179"/>
        <v>46916</v>
      </c>
      <c r="O688" s="45">
        <f t="shared" si="179"/>
        <v>50682</v>
      </c>
      <c r="P688" s="45">
        <f t="shared" si="179"/>
        <v>577880</v>
      </c>
      <c r="Q688" s="337"/>
    </row>
    <row r="689" spans="2:17" hidden="1" x14ac:dyDescent="0.25"/>
    <row r="690" spans="2:17" hidden="1" x14ac:dyDescent="0.25">
      <c r="B690" s="81" t="s">
        <v>24</v>
      </c>
      <c r="C690" s="82"/>
      <c r="D690" s="83">
        <f>SUM(D691:D692)</f>
        <v>13530</v>
      </c>
      <c r="E690" s="83">
        <f t="shared" ref="E690:O690" si="180">SUM(E691:E692)</f>
        <v>7384</v>
      </c>
      <c r="F690" s="83">
        <f t="shared" si="180"/>
        <v>12155</v>
      </c>
      <c r="G690" s="83">
        <f t="shared" si="180"/>
        <v>10186</v>
      </c>
      <c r="H690" s="83">
        <f t="shared" si="180"/>
        <v>10401</v>
      </c>
      <c r="I690" s="83">
        <f t="shared" si="180"/>
        <v>11113</v>
      </c>
      <c r="J690" s="83">
        <f t="shared" si="180"/>
        <v>11050</v>
      </c>
      <c r="K690" s="83">
        <f t="shared" si="180"/>
        <v>10283</v>
      </c>
      <c r="L690" s="83">
        <f t="shared" si="180"/>
        <v>11406</v>
      </c>
      <c r="M690" s="83">
        <f t="shared" si="180"/>
        <v>12625</v>
      </c>
      <c r="N690" s="83">
        <f t="shared" si="180"/>
        <v>10354</v>
      </c>
      <c r="O690" s="83">
        <f t="shared" si="180"/>
        <v>10500</v>
      </c>
      <c r="P690" s="84">
        <f>SUM(P691:P692)</f>
        <v>130987</v>
      </c>
    </row>
    <row r="691" spans="2:17" ht="9" hidden="1" customHeight="1" x14ac:dyDescent="0.25">
      <c r="B691" s="85"/>
      <c r="C691" s="86" t="s">
        <v>28</v>
      </c>
      <c r="D691" s="99">
        <v>13347</v>
      </c>
      <c r="E691" s="99">
        <v>7226</v>
      </c>
      <c r="F691" s="87">
        <v>11867</v>
      </c>
      <c r="G691" s="100">
        <v>9888</v>
      </c>
      <c r="H691" s="87">
        <v>10168</v>
      </c>
      <c r="I691" s="97">
        <v>10893</v>
      </c>
      <c r="J691" s="97">
        <v>10840</v>
      </c>
      <c r="K691" s="87">
        <v>10127</v>
      </c>
      <c r="L691" s="87">
        <v>11306</v>
      </c>
      <c r="M691" s="87">
        <v>12525</v>
      </c>
      <c r="N691" s="87">
        <v>10252</v>
      </c>
      <c r="O691" s="87">
        <v>10442</v>
      </c>
      <c r="P691" s="88">
        <f>SUM(D691:O691)</f>
        <v>128881</v>
      </c>
    </row>
    <row r="692" spans="2:17" ht="9" hidden="1" customHeight="1" x14ac:dyDescent="0.25">
      <c r="B692" s="89"/>
      <c r="C692" s="86" t="s">
        <v>23</v>
      </c>
      <c r="D692" s="99">
        <v>183</v>
      </c>
      <c r="E692" s="99">
        <v>158</v>
      </c>
      <c r="F692" s="87">
        <v>288</v>
      </c>
      <c r="G692" s="100">
        <v>298</v>
      </c>
      <c r="H692" s="87">
        <v>233</v>
      </c>
      <c r="I692" s="97">
        <v>220</v>
      </c>
      <c r="J692" s="98">
        <v>210</v>
      </c>
      <c r="K692" s="90">
        <v>156</v>
      </c>
      <c r="L692" s="90">
        <v>100</v>
      </c>
      <c r="M692" s="90">
        <v>100</v>
      </c>
      <c r="N692" s="90">
        <v>102</v>
      </c>
      <c r="O692" s="90">
        <v>58</v>
      </c>
      <c r="P692" s="88">
        <f>SUM(D692:O692)</f>
        <v>2106</v>
      </c>
    </row>
    <row r="693" spans="2:17" ht="6" hidden="1" customHeight="1" x14ac:dyDescent="0.25">
      <c r="G693" s="91"/>
      <c r="L693" s="91"/>
      <c r="P693" s="46"/>
      <c r="Q693" s="114"/>
    </row>
    <row r="694" spans="2:17" hidden="1" x14ac:dyDescent="0.25">
      <c r="B694" s="92" t="s">
        <v>25</v>
      </c>
      <c r="C694" s="93"/>
      <c r="D694" s="83">
        <f>SUM(D695:D697)</f>
        <v>8040</v>
      </c>
      <c r="E694" s="83">
        <f>SUM(E695:E697)</f>
        <v>7498</v>
      </c>
      <c r="F694" s="83">
        <f t="shared" ref="F694:O694" si="181">SUM(F695:F697)</f>
        <v>9514</v>
      </c>
      <c r="G694" s="83">
        <f t="shared" si="181"/>
        <v>8543</v>
      </c>
      <c r="H694" s="83">
        <f t="shared" si="181"/>
        <v>7434</v>
      </c>
      <c r="I694" s="83">
        <f t="shared" si="181"/>
        <v>9102</v>
      </c>
      <c r="J694" s="83">
        <f t="shared" si="181"/>
        <v>8867</v>
      </c>
      <c r="K694" s="83">
        <f t="shared" si="181"/>
        <v>8583</v>
      </c>
      <c r="L694" s="83">
        <f t="shared" si="181"/>
        <v>9951</v>
      </c>
      <c r="M694" s="83">
        <f t="shared" si="181"/>
        <v>8791</v>
      </c>
      <c r="N694" s="83">
        <f t="shared" si="181"/>
        <v>8597</v>
      </c>
      <c r="O694" s="83">
        <f t="shared" si="181"/>
        <v>9160</v>
      </c>
      <c r="P694" s="83">
        <f>SUM(P695:P697)</f>
        <v>104080</v>
      </c>
    </row>
    <row r="695" spans="2:17" ht="9" hidden="1" customHeight="1" x14ac:dyDescent="0.25">
      <c r="B695" s="85"/>
      <c r="C695" s="86" t="s">
        <v>199</v>
      </c>
      <c r="D695" s="87">
        <v>1155</v>
      </c>
      <c r="E695" s="87">
        <v>1134</v>
      </c>
      <c r="F695" s="87">
        <v>1656</v>
      </c>
      <c r="G695" s="87">
        <v>1383</v>
      </c>
      <c r="H695" s="87">
        <v>1453</v>
      </c>
      <c r="I695" s="87">
        <v>1304</v>
      </c>
      <c r="J695" s="87">
        <v>1150</v>
      </c>
      <c r="K695" s="87">
        <v>1046</v>
      </c>
      <c r="L695" s="87">
        <v>1234</v>
      </c>
      <c r="M695" s="87">
        <v>1437</v>
      </c>
      <c r="N695" s="87">
        <v>1141</v>
      </c>
      <c r="O695" s="87">
        <v>1170</v>
      </c>
      <c r="P695" s="88">
        <f>SUM(D695:O695)</f>
        <v>15263</v>
      </c>
    </row>
    <row r="696" spans="2:17" ht="9" hidden="1" customHeight="1" x14ac:dyDescent="0.25">
      <c r="B696" s="85"/>
      <c r="C696" s="86" t="s">
        <v>26</v>
      </c>
      <c r="D696" s="87">
        <v>6885</v>
      </c>
      <c r="E696" s="87">
        <v>6364</v>
      </c>
      <c r="F696" s="87">
        <v>7858</v>
      </c>
      <c r="G696" s="87">
        <v>7160</v>
      </c>
      <c r="H696" s="87">
        <v>5981</v>
      </c>
      <c r="I696" s="87">
        <v>6511</v>
      </c>
      <c r="J696" s="87">
        <v>6230</v>
      </c>
      <c r="K696" s="87">
        <v>6337</v>
      </c>
      <c r="L696" s="87">
        <v>7806</v>
      </c>
      <c r="M696" s="87">
        <v>6760</v>
      </c>
      <c r="N696" s="87">
        <v>6425</v>
      </c>
      <c r="O696" s="87">
        <v>7307</v>
      </c>
      <c r="P696" s="88">
        <f>SUM(D696:O696)</f>
        <v>81624</v>
      </c>
    </row>
    <row r="697" spans="2:17" ht="9" hidden="1" customHeight="1" x14ac:dyDescent="0.25">
      <c r="B697" s="89"/>
      <c r="C697" s="86" t="s">
        <v>23</v>
      </c>
      <c r="D697" s="90">
        <v>0</v>
      </c>
      <c r="E697" s="90">
        <v>0</v>
      </c>
      <c r="F697" s="90">
        <v>0</v>
      </c>
      <c r="G697" s="90">
        <v>0</v>
      </c>
      <c r="H697" s="90">
        <v>0</v>
      </c>
      <c r="I697" s="90">
        <v>1287</v>
      </c>
      <c r="J697" s="90">
        <v>1487</v>
      </c>
      <c r="K697" s="90">
        <v>1200</v>
      </c>
      <c r="L697" s="90">
        <v>911</v>
      </c>
      <c r="M697" s="90">
        <v>594</v>
      </c>
      <c r="N697" s="90">
        <v>1031</v>
      </c>
      <c r="O697" s="90">
        <v>683</v>
      </c>
      <c r="P697" s="88">
        <f>SUM(D697:O697)</f>
        <v>7193</v>
      </c>
    </row>
    <row r="698" spans="2:17" ht="6" hidden="1" customHeight="1" x14ac:dyDescent="0.25">
      <c r="P698" s="339"/>
    </row>
    <row r="699" spans="2:17" hidden="1" x14ac:dyDescent="0.25">
      <c r="B699" s="81" t="s">
        <v>27</v>
      </c>
      <c r="C699" s="82"/>
      <c r="D699" s="83">
        <f t="shared" ref="D699:P699" si="182">SUM(D700:D701)</f>
        <v>606</v>
      </c>
      <c r="E699" s="83">
        <f t="shared" si="182"/>
        <v>266</v>
      </c>
      <c r="F699" s="83">
        <f t="shared" si="182"/>
        <v>262</v>
      </c>
      <c r="G699" s="83">
        <f t="shared" si="182"/>
        <v>276</v>
      </c>
      <c r="H699" s="83">
        <f t="shared" si="182"/>
        <v>130</v>
      </c>
      <c r="I699" s="83">
        <f t="shared" si="182"/>
        <v>321</v>
      </c>
      <c r="J699" s="83">
        <f t="shared" si="182"/>
        <v>32</v>
      </c>
      <c r="K699" s="83">
        <f t="shared" si="182"/>
        <v>1</v>
      </c>
      <c r="L699" s="83">
        <f t="shared" si="182"/>
        <v>0</v>
      </c>
      <c r="M699" s="83">
        <f t="shared" si="182"/>
        <v>0</v>
      </c>
      <c r="N699" s="83">
        <f t="shared" si="182"/>
        <v>0</v>
      </c>
      <c r="O699" s="83">
        <f t="shared" si="182"/>
        <v>0</v>
      </c>
      <c r="P699" s="84">
        <f t="shared" si="182"/>
        <v>1894</v>
      </c>
    </row>
    <row r="700" spans="2:17" ht="9" hidden="1" customHeight="1" x14ac:dyDescent="0.25">
      <c r="B700" s="85"/>
      <c r="C700" s="86" t="s">
        <v>211</v>
      </c>
      <c r="D700" s="99">
        <v>606</v>
      </c>
      <c r="E700" s="99">
        <v>266</v>
      </c>
      <c r="F700" s="87">
        <v>262</v>
      </c>
      <c r="G700" s="100">
        <v>276</v>
      </c>
      <c r="H700" s="87">
        <v>130</v>
      </c>
      <c r="I700" s="97">
        <v>321</v>
      </c>
      <c r="J700" s="97">
        <v>32</v>
      </c>
      <c r="K700" s="87">
        <v>1</v>
      </c>
      <c r="L700" s="87">
        <v>0</v>
      </c>
      <c r="M700" s="87">
        <v>0</v>
      </c>
      <c r="N700" s="87">
        <v>0</v>
      </c>
      <c r="O700" s="87">
        <v>0</v>
      </c>
      <c r="P700" s="88">
        <f>SUM(D700:O700)</f>
        <v>1894</v>
      </c>
    </row>
    <row r="701" spans="2:17" hidden="1" x14ac:dyDescent="0.25"/>
    <row r="702" spans="2:17" ht="15" hidden="1" thickBot="1" x14ac:dyDescent="0.3">
      <c r="B702" s="18" t="s">
        <v>212</v>
      </c>
      <c r="C702" s="18"/>
      <c r="Q702"/>
    </row>
    <row r="703" spans="2:17" ht="12.75" hidden="1" customHeight="1" thickBot="1" x14ac:dyDescent="0.3">
      <c r="B703" s="435" t="s">
        <v>1</v>
      </c>
      <c r="C703" s="436"/>
      <c r="D703" s="21">
        <v>1</v>
      </c>
      <c r="E703" s="22">
        <v>2</v>
      </c>
      <c r="F703" s="22">
        <v>3</v>
      </c>
      <c r="G703" s="22">
        <v>4</v>
      </c>
      <c r="H703" s="22">
        <v>5</v>
      </c>
      <c r="I703" s="22">
        <v>6</v>
      </c>
      <c r="J703" s="22">
        <v>7</v>
      </c>
      <c r="K703" s="22">
        <v>8</v>
      </c>
      <c r="L703" s="22">
        <v>9</v>
      </c>
      <c r="M703" s="22">
        <v>10</v>
      </c>
      <c r="N703" s="22">
        <v>11</v>
      </c>
      <c r="O703" s="22">
        <v>12</v>
      </c>
      <c r="P703" s="23" t="s">
        <v>0</v>
      </c>
      <c r="Q703"/>
    </row>
    <row r="704" spans="2:17" ht="12.75" hidden="1" customHeight="1" x14ac:dyDescent="0.25">
      <c r="B704" s="438" t="s">
        <v>204</v>
      </c>
      <c r="C704" s="24" t="s">
        <v>205</v>
      </c>
      <c r="D704" s="25">
        <v>715</v>
      </c>
      <c r="E704" s="26">
        <v>385</v>
      </c>
      <c r="F704" s="25">
        <v>379</v>
      </c>
      <c r="G704" s="26">
        <v>342</v>
      </c>
      <c r="H704" s="26">
        <v>280</v>
      </c>
      <c r="I704" s="26">
        <v>299</v>
      </c>
      <c r="J704" s="26">
        <v>230</v>
      </c>
      <c r="K704" s="26">
        <v>273</v>
      </c>
      <c r="L704" s="26">
        <v>128</v>
      </c>
      <c r="M704" s="26">
        <v>322</v>
      </c>
      <c r="N704" s="26">
        <v>396</v>
      </c>
      <c r="O704" s="26">
        <v>130</v>
      </c>
      <c r="P704" s="27">
        <f t="shared" ref="P704:P716" si="183">SUM(D704:O704)</f>
        <v>3879</v>
      </c>
      <c r="Q704"/>
    </row>
    <row r="705" spans="2:18" ht="12.75" hidden="1" customHeight="1" x14ac:dyDescent="0.25">
      <c r="B705" s="438"/>
      <c r="C705" s="28" t="s">
        <v>206</v>
      </c>
      <c r="D705" s="29">
        <v>1075</v>
      </c>
      <c r="E705" s="30">
        <v>612</v>
      </c>
      <c r="F705" s="29">
        <v>726</v>
      </c>
      <c r="G705" s="30">
        <v>606</v>
      </c>
      <c r="H705" s="30">
        <v>504</v>
      </c>
      <c r="I705" s="30">
        <v>365</v>
      </c>
      <c r="J705" s="30">
        <v>517</v>
      </c>
      <c r="K705" s="30">
        <v>439</v>
      </c>
      <c r="L705" s="30">
        <v>405</v>
      </c>
      <c r="M705" s="30">
        <v>464</v>
      </c>
      <c r="N705" s="30">
        <v>209</v>
      </c>
      <c r="O705" s="30">
        <v>15</v>
      </c>
      <c r="P705" s="31">
        <f t="shared" si="183"/>
        <v>5937</v>
      </c>
      <c r="Q705"/>
    </row>
    <row r="706" spans="2:18" ht="12.75" hidden="1" customHeight="1" x14ac:dyDescent="0.25">
      <c r="B706" s="438"/>
      <c r="C706" s="28" t="s">
        <v>21</v>
      </c>
      <c r="D706" s="29"/>
      <c r="E706" s="30"/>
      <c r="F706" s="29"/>
      <c r="G706" s="30"/>
      <c r="H706" s="30"/>
      <c r="I706" s="30"/>
      <c r="J706" s="30"/>
      <c r="K706" s="30"/>
      <c r="L706" s="30"/>
      <c r="M706" s="30"/>
      <c r="N706" s="30">
        <v>1021</v>
      </c>
      <c r="O706" s="30">
        <v>1983</v>
      </c>
      <c r="P706" s="31">
        <f>SUM(D706:O706)</f>
        <v>3004</v>
      </c>
      <c r="Q706"/>
    </row>
    <row r="707" spans="2:18" ht="12.75" hidden="1" customHeight="1" x14ac:dyDescent="0.25">
      <c r="B707" s="438"/>
      <c r="C707" s="28" t="s">
        <v>213</v>
      </c>
      <c r="D707" s="29">
        <v>7566</v>
      </c>
      <c r="E707" s="30">
        <v>6964</v>
      </c>
      <c r="F707" s="29">
        <v>8533</v>
      </c>
      <c r="G707" s="30">
        <v>8327</v>
      </c>
      <c r="H707" s="30">
        <v>7612</v>
      </c>
      <c r="I707" s="30">
        <v>6457</v>
      </c>
      <c r="J707" s="30">
        <v>7273</v>
      </c>
      <c r="K707" s="30">
        <v>4727</v>
      </c>
      <c r="L707" s="30">
        <v>550</v>
      </c>
      <c r="M707" s="30">
        <v>777</v>
      </c>
      <c r="N707" s="30">
        <v>10</v>
      </c>
      <c r="O707" s="30">
        <v>21</v>
      </c>
      <c r="P707" s="31">
        <f t="shared" si="183"/>
        <v>58817</v>
      </c>
      <c r="Q707"/>
    </row>
    <row r="708" spans="2:18" ht="12.75" hidden="1" customHeight="1" x14ac:dyDescent="0.25">
      <c r="B708" s="438"/>
      <c r="C708" s="28" t="s">
        <v>214</v>
      </c>
      <c r="D708" s="29"/>
      <c r="E708" s="30"/>
      <c r="F708" s="29"/>
      <c r="G708" s="30"/>
      <c r="H708" s="30"/>
      <c r="I708" s="30"/>
      <c r="J708" s="30"/>
      <c r="K708" s="30">
        <v>9122</v>
      </c>
      <c r="L708" s="30">
        <v>15632</v>
      </c>
      <c r="M708" s="30">
        <v>18875</v>
      </c>
      <c r="N708" s="30">
        <v>16225</v>
      </c>
      <c r="O708" s="30">
        <v>17012</v>
      </c>
      <c r="P708" s="31">
        <f t="shared" si="183"/>
        <v>76866</v>
      </c>
      <c r="Q708"/>
    </row>
    <row r="709" spans="2:18" ht="12.75" hidden="1" customHeight="1" x14ac:dyDescent="0.25">
      <c r="B709" s="438"/>
      <c r="C709" s="28" t="s">
        <v>215</v>
      </c>
      <c r="D709" s="29">
        <v>526</v>
      </c>
      <c r="E709" s="30">
        <v>266</v>
      </c>
      <c r="F709" s="29">
        <v>800</v>
      </c>
      <c r="G709" s="30">
        <v>493</v>
      </c>
      <c r="H709" s="30">
        <v>392</v>
      </c>
      <c r="I709" s="30">
        <v>294</v>
      </c>
      <c r="J709" s="30">
        <v>303</v>
      </c>
      <c r="K709" s="30">
        <v>234</v>
      </c>
      <c r="L709" s="30">
        <v>169</v>
      </c>
      <c r="M709" s="30">
        <v>162</v>
      </c>
      <c r="N709" s="30">
        <v>230</v>
      </c>
      <c r="O709" s="30">
        <v>264</v>
      </c>
      <c r="P709" s="31">
        <f t="shared" si="183"/>
        <v>4133</v>
      </c>
      <c r="Q709"/>
    </row>
    <row r="710" spans="2:18" ht="12.75" hidden="1" customHeight="1" x14ac:dyDescent="0.25">
      <c r="B710" s="438"/>
      <c r="C710" s="28" t="s">
        <v>3</v>
      </c>
      <c r="D710" s="29">
        <v>1325</v>
      </c>
      <c r="E710" s="30">
        <v>1037</v>
      </c>
      <c r="F710" s="29">
        <v>1101</v>
      </c>
      <c r="G710" s="30">
        <v>936</v>
      </c>
      <c r="H710" s="30">
        <v>914</v>
      </c>
      <c r="I710" s="30">
        <v>882</v>
      </c>
      <c r="J710" s="30">
        <v>741</v>
      </c>
      <c r="K710" s="30">
        <v>474</v>
      </c>
      <c r="L710" s="30">
        <v>124</v>
      </c>
      <c r="M710" s="30">
        <v>354</v>
      </c>
      <c r="N710" s="30">
        <v>617</v>
      </c>
      <c r="O710" s="30">
        <v>661</v>
      </c>
      <c r="P710" s="31">
        <f t="shared" si="183"/>
        <v>9166</v>
      </c>
      <c r="Q710"/>
    </row>
    <row r="711" spans="2:18" ht="12.75" hidden="1" customHeight="1" x14ac:dyDescent="0.25">
      <c r="B711" s="438"/>
      <c r="C711" s="28" t="s">
        <v>216</v>
      </c>
      <c r="D711" s="29">
        <v>1434</v>
      </c>
      <c r="E711" s="30">
        <v>1074</v>
      </c>
      <c r="F711" s="29">
        <v>1304</v>
      </c>
      <c r="G711" s="30">
        <v>1433</v>
      </c>
      <c r="H711" s="30">
        <v>1367</v>
      </c>
      <c r="I711" s="30">
        <v>1325</v>
      </c>
      <c r="J711" s="30">
        <v>1187</v>
      </c>
      <c r="K711" s="30">
        <v>1465</v>
      </c>
      <c r="L711" s="30">
        <v>1204</v>
      </c>
      <c r="M711" s="30">
        <v>1514</v>
      </c>
      <c r="N711" s="30">
        <v>1417</v>
      </c>
      <c r="O711" s="30">
        <v>1564</v>
      </c>
      <c r="P711" s="31">
        <f t="shared" si="183"/>
        <v>16288</v>
      </c>
      <c r="Q711"/>
    </row>
    <row r="712" spans="2:18" ht="12.75" hidden="1" customHeight="1" x14ac:dyDescent="0.25">
      <c r="B712" s="438"/>
      <c r="C712" s="28" t="s">
        <v>217</v>
      </c>
      <c r="D712" s="29">
        <v>13928</v>
      </c>
      <c r="E712" s="30">
        <v>12217</v>
      </c>
      <c r="F712" s="29">
        <v>14575</v>
      </c>
      <c r="G712" s="30">
        <v>11138</v>
      </c>
      <c r="H712" s="30">
        <v>9053</v>
      </c>
      <c r="I712" s="30">
        <v>9957</v>
      </c>
      <c r="J712" s="30">
        <v>8469</v>
      </c>
      <c r="K712" s="30">
        <v>7831</v>
      </c>
      <c r="L712" s="30">
        <v>13860</v>
      </c>
      <c r="M712" s="30">
        <v>12239</v>
      </c>
      <c r="N712" s="30">
        <v>12269</v>
      </c>
      <c r="O712" s="30">
        <v>10199</v>
      </c>
      <c r="P712" s="31">
        <f t="shared" si="183"/>
        <v>135735</v>
      </c>
      <c r="Q712"/>
    </row>
    <row r="713" spans="2:18" ht="12.75" hidden="1" customHeight="1" x14ac:dyDescent="0.25">
      <c r="B713" s="438"/>
      <c r="C713" s="28" t="s">
        <v>27</v>
      </c>
      <c r="D713" s="29">
        <v>5391</v>
      </c>
      <c r="E713" s="30">
        <v>3552</v>
      </c>
      <c r="F713" s="29">
        <v>3711</v>
      </c>
      <c r="G713" s="30">
        <v>3221</v>
      </c>
      <c r="H713" s="30">
        <v>2358</v>
      </c>
      <c r="I713" s="30">
        <v>1862</v>
      </c>
      <c r="J713" s="30">
        <v>2114</v>
      </c>
      <c r="K713" s="30">
        <v>1717</v>
      </c>
      <c r="L713" s="30">
        <v>2003</v>
      </c>
      <c r="M713" s="30">
        <v>2187</v>
      </c>
      <c r="N713" s="30">
        <v>2764</v>
      </c>
      <c r="O713" s="30">
        <v>2013</v>
      </c>
      <c r="P713" s="31">
        <f t="shared" si="183"/>
        <v>32893</v>
      </c>
      <c r="Q713"/>
    </row>
    <row r="714" spans="2:18" ht="12.75" hidden="1" customHeight="1" x14ac:dyDescent="0.25">
      <c r="B714" s="438"/>
      <c r="C714" s="28" t="s">
        <v>4</v>
      </c>
      <c r="D714" s="29">
        <v>2349</v>
      </c>
      <c r="E714" s="30">
        <v>1979</v>
      </c>
      <c r="F714" s="29">
        <v>2339</v>
      </c>
      <c r="G714" s="30">
        <v>2151</v>
      </c>
      <c r="H714" s="30">
        <v>2315</v>
      </c>
      <c r="I714" s="30">
        <v>2118</v>
      </c>
      <c r="J714" s="30">
        <v>2226</v>
      </c>
      <c r="K714" s="30">
        <v>1692</v>
      </c>
      <c r="L714" s="30">
        <v>1449</v>
      </c>
      <c r="M714" s="30">
        <v>1540</v>
      </c>
      <c r="N714" s="30">
        <v>1526</v>
      </c>
      <c r="O714" s="30">
        <v>2208</v>
      </c>
      <c r="P714" s="31">
        <f t="shared" si="183"/>
        <v>23892</v>
      </c>
      <c r="Q714"/>
    </row>
    <row r="715" spans="2:18" ht="12.75" hidden="1" customHeight="1" x14ac:dyDescent="0.25">
      <c r="B715" s="438"/>
      <c r="C715" s="28" t="s">
        <v>5</v>
      </c>
      <c r="D715" s="29">
        <v>252</v>
      </c>
      <c r="E715" s="30">
        <v>297</v>
      </c>
      <c r="F715" s="29">
        <v>436</v>
      </c>
      <c r="G715" s="30">
        <v>250</v>
      </c>
      <c r="H715" s="30">
        <v>231</v>
      </c>
      <c r="I715" s="30">
        <v>215</v>
      </c>
      <c r="J715" s="30">
        <v>248</v>
      </c>
      <c r="K715" s="30">
        <v>242</v>
      </c>
      <c r="L715" s="30">
        <v>165</v>
      </c>
      <c r="M715" s="30">
        <v>133</v>
      </c>
      <c r="N715" s="30">
        <v>148</v>
      </c>
      <c r="O715" s="30">
        <v>172</v>
      </c>
      <c r="P715" s="31">
        <f t="shared" si="183"/>
        <v>2789</v>
      </c>
      <c r="Q715"/>
    </row>
    <row r="716" spans="2:18" ht="12.75" hidden="1" customHeight="1" x14ac:dyDescent="0.25">
      <c r="B716" s="438"/>
      <c r="C716" s="28" t="s">
        <v>6</v>
      </c>
      <c r="D716" s="29">
        <v>1396</v>
      </c>
      <c r="E716" s="30">
        <v>1321</v>
      </c>
      <c r="F716" s="29">
        <v>1563</v>
      </c>
      <c r="G716" s="30">
        <v>1470</v>
      </c>
      <c r="H716" s="30">
        <v>1314</v>
      </c>
      <c r="I716" s="30">
        <v>1274</v>
      </c>
      <c r="J716" s="30">
        <v>1290</v>
      </c>
      <c r="K716" s="30">
        <v>1075</v>
      </c>
      <c r="L716" s="30">
        <v>1074</v>
      </c>
      <c r="M716" s="30">
        <v>1068</v>
      </c>
      <c r="N716" s="30">
        <v>983</v>
      </c>
      <c r="O716" s="30">
        <v>1171</v>
      </c>
      <c r="P716" s="31">
        <f t="shared" si="183"/>
        <v>14999</v>
      </c>
      <c r="Q716"/>
    </row>
    <row r="717" spans="2:18" ht="12.75" hidden="1" customHeight="1" x14ac:dyDescent="0.25">
      <c r="B717" s="444"/>
      <c r="C717" s="35" t="s">
        <v>0</v>
      </c>
      <c r="D717" s="36">
        <f>SUM(D704:D716)</f>
        <v>35957</v>
      </c>
      <c r="E717" s="36">
        <f>SUM(E704:E716)</f>
        <v>29704</v>
      </c>
      <c r="F717" s="36">
        <f t="shared" ref="F717:O717" si="184">SUM(F704:F716)</f>
        <v>35467</v>
      </c>
      <c r="G717" s="36">
        <f t="shared" si="184"/>
        <v>30367</v>
      </c>
      <c r="H717" s="36">
        <f t="shared" si="184"/>
        <v>26340</v>
      </c>
      <c r="I717" s="36">
        <f t="shared" si="184"/>
        <v>25048</v>
      </c>
      <c r="J717" s="36">
        <f t="shared" si="184"/>
        <v>24598</v>
      </c>
      <c r="K717" s="36">
        <f t="shared" si="184"/>
        <v>29291</v>
      </c>
      <c r="L717" s="36">
        <f t="shared" si="184"/>
        <v>36763</v>
      </c>
      <c r="M717" s="36">
        <f t="shared" si="184"/>
        <v>39635</v>
      </c>
      <c r="N717" s="36">
        <f t="shared" si="184"/>
        <v>37815</v>
      </c>
      <c r="O717" s="36">
        <f t="shared" si="184"/>
        <v>37413</v>
      </c>
      <c r="P717" s="37">
        <f>SUM(P704:P716)</f>
        <v>388398</v>
      </c>
      <c r="Q717"/>
    </row>
    <row r="718" spans="2:18" ht="12.75" hidden="1" customHeight="1" x14ac:dyDescent="0.25">
      <c r="B718" s="433"/>
      <c r="C718" s="28" t="s">
        <v>59</v>
      </c>
      <c r="D718" s="29">
        <v>0</v>
      </c>
      <c r="E718" s="30">
        <v>0</v>
      </c>
      <c r="F718" s="30">
        <v>0</v>
      </c>
      <c r="G718" s="30">
        <v>0</v>
      </c>
      <c r="H718" s="30">
        <v>0</v>
      </c>
      <c r="I718" s="30">
        <v>0</v>
      </c>
      <c r="J718" s="30">
        <v>0</v>
      </c>
      <c r="K718" s="30">
        <v>0</v>
      </c>
      <c r="L718" s="30">
        <v>0</v>
      </c>
      <c r="M718" s="30">
        <v>0</v>
      </c>
      <c r="N718" s="30">
        <v>0</v>
      </c>
      <c r="O718" s="30">
        <v>0</v>
      </c>
      <c r="P718" s="31">
        <f>SUM(D718:O718)</f>
        <v>0</v>
      </c>
      <c r="Q718" s="114"/>
      <c r="R718" s="114"/>
    </row>
    <row r="719" spans="2:18" ht="12.75" hidden="1" customHeight="1" x14ac:dyDescent="0.25">
      <c r="B719" s="433"/>
      <c r="C719" s="28" t="s">
        <v>7</v>
      </c>
      <c r="D719" s="29">
        <v>5229</v>
      </c>
      <c r="E719" s="30">
        <v>4273</v>
      </c>
      <c r="F719" s="30">
        <v>4906</v>
      </c>
      <c r="G719" s="30">
        <v>4779</v>
      </c>
      <c r="H719" s="30">
        <v>3719</v>
      </c>
      <c r="I719" s="30">
        <v>3967</v>
      </c>
      <c r="J719" s="30">
        <v>3713</v>
      </c>
      <c r="K719" s="30">
        <v>3021</v>
      </c>
      <c r="L719" s="30">
        <v>3159</v>
      </c>
      <c r="M719" s="30">
        <v>3543</v>
      </c>
      <c r="N719" s="30">
        <v>3331</v>
      </c>
      <c r="O719" s="30">
        <v>2814</v>
      </c>
      <c r="P719" s="31">
        <f>SUM(D719:O719)</f>
        <v>46454</v>
      </c>
      <c r="Q719"/>
    </row>
    <row r="720" spans="2:18" ht="12.75" hidden="1" customHeight="1" x14ac:dyDescent="0.25">
      <c r="B720" s="433"/>
      <c r="C720" s="28" t="s">
        <v>8</v>
      </c>
      <c r="D720" s="29">
        <v>4767</v>
      </c>
      <c r="E720" s="30">
        <v>2901</v>
      </c>
      <c r="F720" s="30">
        <v>2959</v>
      </c>
      <c r="G720" s="30">
        <v>3091</v>
      </c>
      <c r="H720" s="30">
        <v>2713</v>
      </c>
      <c r="I720" s="30">
        <v>2589</v>
      </c>
      <c r="J720" s="30">
        <v>3105</v>
      </c>
      <c r="K720" s="30">
        <v>2797</v>
      </c>
      <c r="L720" s="30">
        <v>2132</v>
      </c>
      <c r="M720" s="30">
        <v>2719</v>
      </c>
      <c r="N720" s="30">
        <v>4058</v>
      </c>
      <c r="O720" s="30">
        <v>3928</v>
      </c>
      <c r="P720" s="31">
        <f>SUM(D720:O720)</f>
        <v>37759</v>
      </c>
      <c r="Q720"/>
    </row>
    <row r="721" spans="2:18" ht="12.75" hidden="1" customHeight="1" x14ac:dyDescent="0.25">
      <c r="B721" s="433"/>
      <c r="C721" s="28" t="s">
        <v>54</v>
      </c>
      <c r="D721" s="29">
        <v>819</v>
      </c>
      <c r="E721" s="30">
        <v>715</v>
      </c>
      <c r="F721" s="30">
        <v>850</v>
      </c>
      <c r="G721" s="30">
        <v>848</v>
      </c>
      <c r="H721" s="30">
        <v>787</v>
      </c>
      <c r="I721" s="30">
        <v>813</v>
      </c>
      <c r="J721" s="30">
        <v>964</v>
      </c>
      <c r="K721" s="30">
        <v>762</v>
      </c>
      <c r="L721" s="30">
        <v>620</v>
      </c>
      <c r="M721" s="30">
        <v>766</v>
      </c>
      <c r="N721" s="30">
        <v>712</v>
      </c>
      <c r="O721" s="30">
        <v>994</v>
      </c>
      <c r="P721" s="31">
        <f>SUM(D721:O721)</f>
        <v>9650</v>
      </c>
      <c r="Q721"/>
      <c r="R721" s="341"/>
    </row>
    <row r="722" spans="2:18" ht="12.75" hidden="1" customHeight="1" thickBot="1" x14ac:dyDescent="0.3">
      <c r="B722" s="439"/>
      <c r="C722" s="35" t="s">
        <v>0</v>
      </c>
      <c r="D722" s="36">
        <f t="shared" ref="D722:P722" si="185">SUM(D718:D721)</f>
        <v>10815</v>
      </c>
      <c r="E722" s="36">
        <f t="shared" si="185"/>
        <v>7889</v>
      </c>
      <c r="F722" s="36">
        <f t="shared" si="185"/>
        <v>8715</v>
      </c>
      <c r="G722" s="36">
        <f t="shared" si="185"/>
        <v>8718</v>
      </c>
      <c r="H722" s="36">
        <f t="shared" si="185"/>
        <v>7219</v>
      </c>
      <c r="I722" s="36">
        <f t="shared" si="185"/>
        <v>7369</v>
      </c>
      <c r="J722" s="36">
        <f t="shared" si="185"/>
        <v>7782</v>
      </c>
      <c r="K722" s="36">
        <f t="shared" si="185"/>
        <v>6580</v>
      </c>
      <c r="L722" s="36">
        <f t="shared" si="185"/>
        <v>5911</v>
      </c>
      <c r="M722" s="36">
        <f t="shared" si="185"/>
        <v>7028</v>
      </c>
      <c r="N722" s="36">
        <f t="shared" si="185"/>
        <v>8101</v>
      </c>
      <c r="O722" s="36">
        <f t="shared" si="185"/>
        <v>7736</v>
      </c>
      <c r="P722" s="37">
        <f t="shared" si="185"/>
        <v>93863</v>
      </c>
      <c r="Q722" s="339"/>
    </row>
    <row r="723" spans="2:18" ht="12.75" hidden="1" customHeight="1" x14ac:dyDescent="0.25">
      <c r="B723" s="429" t="s">
        <v>9</v>
      </c>
      <c r="C723" s="38" t="s">
        <v>11</v>
      </c>
      <c r="D723" s="39">
        <v>3956</v>
      </c>
      <c r="E723" s="40">
        <v>3699</v>
      </c>
      <c r="F723" s="40">
        <v>4360</v>
      </c>
      <c r="G723" s="40">
        <v>4764</v>
      </c>
      <c r="H723" s="40">
        <v>4479</v>
      </c>
      <c r="I723" s="40">
        <v>3814</v>
      </c>
      <c r="J723" s="40">
        <v>4508</v>
      </c>
      <c r="K723" s="40">
        <v>4179</v>
      </c>
      <c r="L723" s="40">
        <v>3331</v>
      </c>
      <c r="M723" s="40">
        <v>4291</v>
      </c>
      <c r="N723" s="40">
        <v>4392</v>
      </c>
      <c r="O723" s="40">
        <v>4402</v>
      </c>
      <c r="P723" s="41">
        <f>SUM(D723:O723)</f>
        <v>50175</v>
      </c>
      <c r="Q723" s="339"/>
    </row>
    <row r="724" spans="2:18" ht="12.75" hidden="1" customHeight="1" x14ac:dyDescent="0.25">
      <c r="B724" s="430"/>
      <c r="C724" s="24" t="s">
        <v>12</v>
      </c>
      <c r="D724" s="25">
        <v>7044</v>
      </c>
      <c r="E724" s="26">
        <v>5256</v>
      </c>
      <c r="F724" s="26">
        <v>7461</v>
      </c>
      <c r="G724" s="26">
        <v>8156</v>
      </c>
      <c r="H724" s="26">
        <v>7965</v>
      </c>
      <c r="I724" s="26">
        <v>9070</v>
      </c>
      <c r="J724" s="26">
        <v>9164</v>
      </c>
      <c r="K724" s="26">
        <v>6457</v>
      </c>
      <c r="L724" s="26">
        <v>7998</v>
      </c>
      <c r="M724" s="26">
        <v>9058</v>
      </c>
      <c r="N724" s="26">
        <v>8198</v>
      </c>
      <c r="O724" s="26">
        <v>8232</v>
      </c>
      <c r="P724" s="27">
        <f>SUM(D724:O724)</f>
        <v>94059</v>
      </c>
      <c r="Q724" s="20"/>
    </row>
    <row r="725" spans="2:18" ht="12.75" hidden="1" customHeight="1" thickBot="1" x14ac:dyDescent="0.3">
      <c r="B725" s="431"/>
      <c r="C725" s="42" t="s">
        <v>0</v>
      </c>
      <c r="D725" s="43">
        <f t="shared" ref="D725:P725" si="186">SUM(D723:D724)</f>
        <v>11000</v>
      </c>
      <c r="E725" s="43">
        <f t="shared" si="186"/>
        <v>8955</v>
      </c>
      <c r="F725" s="43">
        <f t="shared" si="186"/>
        <v>11821</v>
      </c>
      <c r="G725" s="43">
        <f t="shared" si="186"/>
        <v>12920</v>
      </c>
      <c r="H725" s="43">
        <f t="shared" si="186"/>
        <v>12444</v>
      </c>
      <c r="I725" s="43">
        <f t="shared" si="186"/>
        <v>12884</v>
      </c>
      <c r="J725" s="43">
        <f t="shared" si="186"/>
        <v>13672</v>
      </c>
      <c r="K725" s="43">
        <f t="shared" si="186"/>
        <v>10636</v>
      </c>
      <c r="L725" s="43">
        <f t="shared" si="186"/>
        <v>11329</v>
      </c>
      <c r="M725" s="43">
        <f t="shared" si="186"/>
        <v>13349</v>
      </c>
      <c r="N725" s="43">
        <f t="shared" si="186"/>
        <v>12590</v>
      </c>
      <c r="O725" s="43">
        <f t="shared" si="186"/>
        <v>12634</v>
      </c>
      <c r="P725" s="44">
        <f t="shared" si="186"/>
        <v>144234</v>
      </c>
      <c r="Q725" s="20"/>
    </row>
    <row r="726" spans="2:18" ht="12.75" hidden="1" customHeight="1" x14ac:dyDescent="0.25">
      <c r="B726" s="429" t="s">
        <v>10</v>
      </c>
      <c r="C726" s="38" t="s">
        <v>13</v>
      </c>
      <c r="D726" s="39">
        <v>538</v>
      </c>
      <c r="E726" s="40">
        <v>776</v>
      </c>
      <c r="F726" s="40">
        <v>855</v>
      </c>
      <c r="G726" s="40">
        <v>882</v>
      </c>
      <c r="H726" s="40">
        <v>834</v>
      </c>
      <c r="I726" s="40">
        <v>815</v>
      </c>
      <c r="J726" s="40">
        <v>668</v>
      </c>
      <c r="K726" s="40">
        <v>615</v>
      </c>
      <c r="L726" s="40">
        <v>661</v>
      </c>
      <c r="M726" s="40">
        <v>673</v>
      </c>
      <c r="N726" s="40">
        <v>465</v>
      </c>
      <c r="O726" s="40">
        <v>543</v>
      </c>
      <c r="P726" s="41">
        <f>SUM(D726:O726)</f>
        <v>8325</v>
      </c>
      <c r="Q726" s="339"/>
    </row>
    <row r="727" spans="2:18" ht="12.75" hidden="1" customHeight="1" x14ac:dyDescent="0.25">
      <c r="B727" s="430"/>
      <c r="C727" s="24" t="s">
        <v>14</v>
      </c>
      <c r="D727" s="25">
        <v>1464</v>
      </c>
      <c r="E727" s="26">
        <v>1657</v>
      </c>
      <c r="F727" s="26">
        <v>2417</v>
      </c>
      <c r="G727" s="26">
        <v>2452</v>
      </c>
      <c r="H727" s="26">
        <v>2391</v>
      </c>
      <c r="I727" s="26">
        <v>2527</v>
      </c>
      <c r="J727" s="26">
        <v>2335</v>
      </c>
      <c r="K727" s="26">
        <v>2240</v>
      </c>
      <c r="L727" s="26">
        <v>2189</v>
      </c>
      <c r="M727" s="26">
        <v>1930</v>
      </c>
      <c r="N727" s="26">
        <v>1377</v>
      </c>
      <c r="O727" s="26">
        <v>1766</v>
      </c>
      <c r="P727" s="27">
        <f>SUM(D727:O727)</f>
        <v>24745</v>
      </c>
      <c r="Q727" s="20"/>
    </row>
    <row r="728" spans="2:18" ht="12.75" hidden="1" customHeight="1" thickBot="1" x14ac:dyDescent="0.3">
      <c r="B728" s="431"/>
      <c r="C728" s="42" t="s">
        <v>0</v>
      </c>
      <c r="D728" s="43">
        <f t="shared" ref="D728:P728" si="187">SUM(D726:D727)</f>
        <v>2002</v>
      </c>
      <c r="E728" s="43">
        <f t="shared" si="187"/>
        <v>2433</v>
      </c>
      <c r="F728" s="43">
        <f t="shared" si="187"/>
        <v>3272</v>
      </c>
      <c r="G728" s="43">
        <f t="shared" si="187"/>
        <v>3334</v>
      </c>
      <c r="H728" s="43">
        <f t="shared" si="187"/>
        <v>3225</v>
      </c>
      <c r="I728" s="43">
        <f t="shared" si="187"/>
        <v>3342</v>
      </c>
      <c r="J728" s="43">
        <f t="shared" si="187"/>
        <v>3003</v>
      </c>
      <c r="K728" s="43">
        <f t="shared" si="187"/>
        <v>2855</v>
      </c>
      <c r="L728" s="43">
        <f t="shared" si="187"/>
        <v>2850</v>
      </c>
      <c r="M728" s="43">
        <f t="shared" si="187"/>
        <v>2603</v>
      </c>
      <c r="N728" s="43">
        <f t="shared" si="187"/>
        <v>1842</v>
      </c>
      <c r="O728" s="43">
        <f t="shared" si="187"/>
        <v>2309</v>
      </c>
      <c r="P728" s="44">
        <f t="shared" si="187"/>
        <v>33070</v>
      </c>
      <c r="Q728" s="20"/>
    </row>
    <row r="729" spans="2:18" ht="12.75" hidden="1" customHeight="1" thickBot="1" x14ac:dyDescent="0.3">
      <c r="B729" s="442" t="s">
        <v>2</v>
      </c>
      <c r="C729" s="443"/>
      <c r="D729" s="45">
        <f>D717+D722+D728+D725</f>
        <v>59774</v>
      </c>
      <c r="E729" s="45">
        <f t="shared" ref="E729:P729" si="188">E717+E722+E728+E725</f>
        <v>48981</v>
      </c>
      <c r="F729" s="45">
        <f t="shared" si="188"/>
        <v>59275</v>
      </c>
      <c r="G729" s="45">
        <f t="shared" si="188"/>
        <v>55339</v>
      </c>
      <c r="H729" s="45">
        <f t="shared" si="188"/>
        <v>49228</v>
      </c>
      <c r="I729" s="45">
        <f t="shared" si="188"/>
        <v>48643</v>
      </c>
      <c r="J729" s="45">
        <f t="shared" si="188"/>
        <v>49055</v>
      </c>
      <c r="K729" s="45">
        <f t="shared" si="188"/>
        <v>49362</v>
      </c>
      <c r="L729" s="45">
        <f t="shared" si="188"/>
        <v>56853</v>
      </c>
      <c r="M729" s="45">
        <f t="shared" si="188"/>
        <v>62615</v>
      </c>
      <c r="N729" s="45">
        <f t="shared" si="188"/>
        <v>60348</v>
      </c>
      <c r="O729" s="45">
        <f t="shared" si="188"/>
        <v>60092</v>
      </c>
      <c r="P729" s="45">
        <f t="shared" si="188"/>
        <v>659565</v>
      </c>
      <c r="Q729" s="339"/>
    </row>
    <row r="730" spans="2:18" hidden="1" x14ac:dyDescent="0.25">
      <c r="Q730"/>
    </row>
    <row r="731" spans="2:18" ht="15" hidden="1" thickBot="1" x14ac:dyDescent="0.3">
      <c r="B731" s="18" t="s">
        <v>218</v>
      </c>
      <c r="C731" s="18"/>
      <c r="Q731"/>
    </row>
    <row r="732" spans="2:18" ht="12.75" hidden="1" customHeight="1" thickBot="1" x14ac:dyDescent="0.3">
      <c r="B732" s="435" t="s">
        <v>1</v>
      </c>
      <c r="C732" s="436"/>
      <c r="D732" s="21">
        <v>1</v>
      </c>
      <c r="E732" s="22">
        <v>2</v>
      </c>
      <c r="F732" s="22">
        <v>3</v>
      </c>
      <c r="G732" s="22">
        <v>4</v>
      </c>
      <c r="H732" s="22">
        <v>5</v>
      </c>
      <c r="I732" s="22">
        <v>6</v>
      </c>
      <c r="J732" s="22">
        <v>7</v>
      </c>
      <c r="K732" s="22">
        <v>8</v>
      </c>
      <c r="L732" s="22">
        <v>9</v>
      </c>
      <c r="M732" s="22">
        <v>10</v>
      </c>
      <c r="N732" s="22">
        <v>11</v>
      </c>
      <c r="O732" s="22">
        <v>12</v>
      </c>
      <c r="P732" s="23" t="s">
        <v>0</v>
      </c>
      <c r="Q732"/>
    </row>
    <row r="733" spans="2:18" ht="12.75" hidden="1" customHeight="1" x14ac:dyDescent="0.25">
      <c r="B733" s="429" t="s">
        <v>204</v>
      </c>
      <c r="C733" s="24" t="s">
        <v>205</v>
      </c>
      <c r="D733" s="25">
        <v>385</v>
      </c>
      <c r="E733" s="26">
        <v>509</v>
      </c>
      <c r="F733" s="25">
        <v>521</v>
      </c>
      <c r="G733" s="26">
        <v>601</v>
      </c>
      <c r="H733" s="26">
        <v>493</v>
      </c>
      <c r="I733" s="26">
        <v>747</v>
      </c>
      <c r="J733" s="26">
        <v>485</v>
      </c>
      <c r="K733" s="26">
        <v>481</v>
      </c>
      <c r="L733" s="26">
        <v>435</v>
      </c>
      <c r="M733" s="26">
        <v>300</v>
      </c>
      <c r="N733" s="26">
        <v>388</v>
      </c>
      <c r="O733" s="26">
        <v>443</v>
      </c>
      <c r="P733" s="27">
        <f t="shared" ref="P733:P743" si="189">SUM(D733:O733)</f>
        <v>5788</v>
      </c>
      <c r="Q733"/>
    </row>
    <row r="734" spans="2:18" ht="12.75" hidden="1" customHeight="1" x14ac:dyDescent="0.25">
      <c r="B734" s="430"/>
      <c r="C734" s="28" t="s">
        <v>206</v>
      </c>
      <c r="D734" s="29">
        <v>700</v>
      </c>
      <c r="E734" s="30">
        <v>607</v>
      </c>
      <c r="F734" s="29">
        <v>621</v>
      </c>
      <c r="G734" s="30">
        <v>515</v>
      </c>
      <c r="H734" s="30">
        <v>693</v>
      </c>
      <c r="I734" s="30">
        <v>1061</v>
      </c>
      <c r="J734" s="30">
        <v>1415</v>
      </c>
      <c r="K734" s="30">
        <v>798</v>
      </c>
      <c r="L734" s="30">
        <v>830</v>
      </c>
      <c r="M734" s="30">
        <v>749</v>
      </c>
      <c r="N734" s="30">
        <v>775</v>
      </c>
      <c r="O734" s="30">
        <v>1051</v>
      </c>
      <c r="P734" s="31">
        <f t="shared" si="189"/>
        <v>9815</v>
      </c>
      <c r="Q734"/>
    </row>
    <row r="735" spans="2:18" ht="12.75" hidden="1" customHeight="1" x14ac:dyDescent="0.25">
      <c r="B735" s="430"/>
      <c r="C735" s="28" t="s">
        <v>213</v>
      </c>
      <c r="D735" s="29">
        <v>6517</v>
      </c>
      <c r="E735" s="30">
        <v>8489</v>
      </c>
      <c r="F735" s="29">
        <v>7709</v>
      </c>
      <c r="G735" s="30">
        <v>7311</v>
      </c>
      <c r="H735" s="30">
        <v>9699</v>
      </c>
      <c r="I735" s="30">
        <v>12912</v>
      </c>
      <c r="J735" s="30">
        <v>9360</v>
      </c>
      <c r="K735" s="30">
        <v>8157</v>
      </c>
      <c r="L735" s="30">
        <v>9585</v>
      </c>
      <c r="M735" s="30">
        <v>8006</v>
      </c>
      <c r="N735" s="30">
        <v>10644</v>
      </c>
      <c r="O735" s="30">
        <v>11839</v>
      </c>
      <c r="P735" s="31">
        <f t="shared" si="189"/>
        <v>110228</v>
      </c>
      <c r="Q735"/>
    </row>
    <row r="736" spans="2:18" ht="12.75" hidden="1" customHeight="1" x14ac:dyDescent="0.25">
      <c r="B736" s="430"/>
      <c r="C736" s="28" t="s">
        <v>215</v>
      </c>
      <c r="D736" s="29">
        <v>0</v>
      </c>
      <c r="E736" s="30">
        <v>0</v>
      </c>
      <c r="F736" s="29">
        <v>0</v>
      </c>
      <c r="G736" s="30">
        <v>0</v>
      </c>
      <c r="H736" s="30">
        <v>0</v>
      </c>
      <c r="I736" s="30">
        <v>81</v>
      </c>
      <c r="J736" s="30">
        <v>1034</v>
      </c>
      <c r="K736" s="30">
        <v>1011</v>
      </c>
      <c r="L736" s="30">
        <v>1072</v>
      </c>
      <c r="M736" s="30">
        <v>627</v>
      </c>
      <c r="N736" s="30">
        <v>840</v>
      </c>
      <c r="O736" s="30">
        <v>485</v>
      </c>
      <c r="P736" s="31">
        <f t="shared" si="189"/>
        <v>5150</v>
      </c>
      <c r="Q736" s="342"/>
    </row>
    <row r="737" spans="2:18" ht="12.75" hidden="1" customHeight="1" x14ac:dyDescent="0.25">
      <c r="B737" s="430"/>
      <c r="C737" s="28" t="s">
        <v>3</v>
      </c>
      <c r="D737" s="29">
        <v>1790</v>
      </c>
      <c r="E737" s="30">
        <v>2469</v>
      </c>
      <c r="F737" s="29">
        <v>2440</v>
      </c>
      <c r="G737" s="30">
        <v>2080</v>
      </c>
      <c r="H737" s="30">
        <v>2732</v>
      </c>
      <c r="I737" s="30">
        <v>3513</v>
      </c>
      <c r="J737" s="30">
        <v>1939</v>
      </c>
      <c r="K737" s="30">
        <v>1600</v>
      </c>
      <c r="L737" s="30">
        <v>1737</v>
      </c>
      <c r="M737" s="30">
        <v>1527</v>
      </c>
      <c r="N737" s="30">
        <v>1932</v>
      </c>
      <c r="O737" s="30">
        <v>1862</v>
      </c>
      <c r="P737" s="31">
        <f t="shared" si="189"/>
        <v>25621</v>
      </c>
      <c r="Q737" s="342"/>
    </row>
    <row r="738" spans="2:18" ht="12.75" hidden="1" customHeight="1" x14ac:dyDescent="0.25">
      <c r="B738" s="430"/>
      <c r="C738" s="28" t="s">
        <v>216</v>
      </c>
      <c r="D738" s="29">
        <v>6613</v>
      </c>
      <c r="E738" s="30">
        <v>7693</v>
      </c>
      <c r="F738" s="29">
        <v>8612</v>
      </c>
      <c r="G738" s="30">
        <v>7806</v>
      </c>
      <c r="H738" s="30">
        <v>12152</v>
      </c>
      <c r="I738" s="30">
        <v>12549</v>
      </c>
      <c r="J738" s="30">
        <v>9072</v>
      </c>
      <c r="K738" s="30">
        <v>7035</v>
      </c>
      <c r="L738" s="30">
        <v>6782</v>
      </c>
      <c r="M738" s="30">
        <v>3795</v>
      </c>
      <c r="N738" s="30">
        <v>1738</v>
      </c>
      <c r="O738" s="30">
        <v>1224</v>
      </c>
      <c r="P738" s="31">
        <f t="shared" si="189"/>
        <v>85071</v>
      </c>
      <c r="Q738" s="278"/>
    </row>
    <row r="739" spans="2:18" ht="12.75" hidden="1" customHeight="1" x14ac:dyDescent="0.25">
      <c r="B739" s="430"/>
      <c r="C739" s="28" t="s">
        <v>217</v>
      </c>
      <c r="D739" s="29">
        <v>0</v>
      </c>
      <c r="E739" s="30">
        <v>0</v>
      </c>
      <c r="F739" s="29">
        <v>0</v>
      </c>
      <c r="G739" s="30">
        <v>0</v>
      </c>
      <c r="H739" s="30">
        <v>0</v>
      </c>
      <c r="I739" s="30">
        <v>0</v>
      </c>
      <c r="J739" s="30">
        <v>0</v>
      </c>
      <c r="K739" s="30">
        <v>0</v>
      </c>
      <c r="L739" s="30">
        <v>9517</v>
      </c>
      <c r="M739" s="30">
        <v>17906</v>
      </c>
      <c r="N739" s="30">
        <v>17464</v>
      </c>
      <c r="O739" s="30">
        <v>16368</v>
      </c>
      <c r="P739" s="31">
        <f t="shared" si="189"/>
        <v>61255</v>
      </c>
      <c r="Q739"/>
    </row>
    <row r="740" spans="2:18" ht="12.75" hidden="1" customHeight="1" x14ac:dyDescent="0.25">
      <c r="B740" s="430"/>
      <c r="C740" s="28" t="s">
        <v>27</v>
      </c>
      <c r="D740" s="29">
        <v>3968</v>
      </c>
      <c r="E740" s="30">
        <v>5622</v>
      </c>
      <c r="F740" s="29">
        <v>5529</v>
      </c>
      <c r="G740" s="30">
        <v>4609</v>
      </c>
      <c r="H740" s="30">
        <v>10642</v>
      </c>
      <c r="I740" s="30">
        <v>11165</v>
      </c>
      <c r="J740" s="30">
        <v>7202</v>
      </c>
      <c r="K740" s="30">
        <v>4887</v>
      </c>
      <c r="L740" s="30">
        <v>6146</v>
      </c>
      <c r="M740" s="30">
        <v>4962</v>
      </c>
      <c r="N740" s="30">
        <v>4930</v>
      </c>
      <c r="O740" s="30">
        <v>6182</v>
      </c>
      <c r="P740" s="31">
        <f t="shared" si="189"/>
        <v>75844</v>
      </c>
      <c r="Q740"/>
    </row>
    <row r="741" spans="2:18" ht="12.75" hidden="1" customHeight="1" x14ac:dyDescent="0.25">
      <c r="B741" s="430"/>
      <c r="C741" s="28" t="s">
        <v>4</v>
      </c>
      <c r="D741" s="29">
        <v>1538</v>
      </c>
      <c r="E741" s="30">
        <v>1928</v>
      </c>
      <c r="F741" s="29">
        <v>2011</v>
      </c>
      <c r="G741" s="30">
        <v>2366</v>
      </c>
      <c r="H741" s="30">
        <v>3422</v>
      </c>
      <c r="I741" s="30">
        <v>4626</v>
      </c>
      <c r="J741" s="30">
        <v>2776</v>
      </c>
      <c r="K741" s="30">
        <v>1551</v>
      </c>
      <c r="L741" s="30">
        <v>2870</v>
      </c>
      <c r="M741" s="30">
        <v>2561</v>
      </c>
      <c r="N741" s="30">
        <v>2582</v>
      </c>
      <c r="O741" s="30">
        <v>2981</v>
      </c>
      <c r="P741" s="31">
        <f t="shared" si="189"/>
        <v>31212</v>
      </c>
      <c r="Q741"/>
    </row>
    <row r="742" spans="2:18" ht="12.75" hidden="1" customHeight="1" x14ac:dyDescent="0.25">
      <c r="B742" s="430"/>
      <c r="C742" s="28" t="s">
        <v>5</v>
      </c>
      <c r="D742" s="29">
        <v>483</v>
      </c>
      <c r="E742" s="30">
        <v>654</v>
      </c>
      <c r="F742" s="29">
        <v>522</v>
      </c>
      <c r="G742" s="30">
        <v>523</v>
      </c>
      <c r="H742" s="30">
        <v>590</v>
      </c>
      <c r="I742" s="30">
        <v>1060</v>
      </c>
      <c r="J742" s="30">
        <v>814</v>
      </c>
      <c r="K742" s="30">
        <v>522</v>
      </c>
      <c r="L742" s="30">
        <v>527</v>
      </c>
      <c r="M742" s="30">
        <v>443</v>
      </c>
      <c r="N742" s="30">
        <v>436</v>
      </c>
      <c r="O742" s="30">
        <v>437</v>
      </c>
      <c r="P742" s="31">
        <f t="shared" si="189"/>
        <v>7011</v>
      </c>
      <c r="Q742"/>
    </row>
    <row r="743" spans="2:18" ht="12.75" hidden="1" customHeight="1" x14ac:dyDescent="0.25">
      <c r="B743" s="430"/>
      <c r="C743" s="28" t="s">
        <v>6</v>
      </c>
      <c r="D743" s="29">
        <v>532</v>
      </c>
      <c r="E743" s="30">
        <v>4</v>
      </c>
      <c r="F743" s="29">
        <v>911</v>
      </c>
      <c r="G743" s="30">
        <v>2030</v>
      </c>
      <c r="H743" s="30">
        <v>1826</v>
      </c>
      <c r="I743" s="30">
        <v>2252</v>
      </c>
      <c r="J743" s="30">
        <v>1581</v>
      </c>
      <c r="K743" s="30">
        <v>1387</v>
      </c>
      <c r="L743" s="30">
        <v>1622</v>
      </c>
      <c r="M743" s="30">
        <v>1470</v>
      </c>
      <c r="N743" s="30">
        <v>1149</v>
      </c>
      <c r="O743" s="30">
        <v>1510</v>
      </c>
      <c r="P743" s="31">
        <f t="shared" si="189"/>
        <v>16274</v>
      </c>
      <c r="Q743"/>
    </row>
    <row r="744" spans="2:18" ht="12.75" hidden="1" customHeight="1" x14ac:dyDescent="0.25">
      <c r="B744" s="444"/>
      <c r="C744" s="35" t="s">
        <v>0</v>
      </c>
      <c r="D744" s="36">
        <f t="shared" ref="D744:P744" si="190">SUM(D733:D743)</f>
        <v>22526</v>
      </c>
      <c r="E744" s="36">
        <f t="shared" si="190"/>
        <v>27975</v>
      </c>
      <c r="F744" s="36">
        <f t="shared" si="190"/>
        <v>28876</v>
      </c>
      <c r="G744" s="36">
        <f t="shared" si="190"/>
        <v>27841</v>
      </c>
      <c r="H744" s="36">
        <f t="shared" si="190"/>
        <v>42249</v>
      </c>
      <c r="I744" s="36">
        <f t="shared" si="190"/>
        <v>49966</v>
      </c>
      <c r="J744" s="36">
        <f t="shared" si="190"/>
        <v>35678</v>
      </c>
      <c r="K744" s="36">
        <f t="shared" si="190"/>
        <v>27429</v>
      </c>
      <c r="L744" s="36">
        <f t="shared" si="190"/>
        <v>41123</v>
      </c>
      <c r="M744" s="36">
        <f t="shared" si="190"/>
        <v>42346</v>
      </c>
      <c r="N744" s="36">
        <f t="shared" si="190"/>
        <v>42878</v>
      </c>
      <c r="O744" s="36">
        <f t="shared" si="190"/>
        <v>44382</v>
      </c>
      <c r="P744" s="37">
        <f t="shared" si="190"/>
        <v>433269</v>
      </c>
      <c r="Q744"/>
    </row>
    <row r="745" spans="2:18" ht="12.75" hidden="1" customHeight="1" x14ac:dyDescent="0.25">
      <c r="B745" s="445"/>
      <c r="C745" s="28" t="s">
        <v>59</v>
      </c>
      <c r="D745" s="29">
        <v>1682</v>
      </c>
      <c r="E745" s="30">
        <v>1773</v>
      </c>
      <c r="F745" s="30">
        <v>2279</v>
      </c>
      <c r="G745" s="30">
        <v>1443</v>
      </c>
      <c r="H745" s="30">
        <v>2478</v>
      </c>
      <c r="I745" s="30">
        <v>3229</v>
      </c>
      <c r="J745" s="30">
        <v>2096</v>
      </c>
      <c r="K745" s="30">
        <v>1901</v>
      </c>
      <c r="L745" s="30">
        <v>1101</v>
      </c>
      <c r="M745" s="30">
        <v>353</v>
      </c>
      <c r="N745" s="30">
        <v>3</v>
      </c>
      <c r="O745" s="30">
        <v>2</v>
      </c>
      <c r="P745" s="31">
        <f>SUM(D745:O745)</f>
        <v>18340</v>
      </c>
      <c r="Q745" s="114"/>
      <c r="R745" s="114"/>
    </row>
    <row r="746" spans="2:18" ht="12.75" hidden="1" customHeight="1" x14ac:dyDescent="0.25">
      <c r="B746" s="433"/>
      <c r="C746" s="28" t="s">
        <v>7</v>
      </c>
      <c r="D746" s="29">
        <v>0</v>
      </c>
      <c r="E746" s="30">
        <v>0</v>
      </c>
      <c r="F746" s="30">
        <v>0</v>
      </c>
      <c r="G746" s="30">
        <v>0</v>
      </c>
      <c r="H746" s="30">
        <v>0</v>
      </c>
      <c r="I746" s="30">
        <v>0</v>
      </c>
      <c r="J746" s="30">
        <v>0</v>
      </c>
      <c r="K746" s="30">
        <v>0</v>
      </c>
      <c r="L746" s="30">
        <v>5002</v>
      </c>
      <c r="M746" s="30">
        <v>6270</v>
      </c>
      <c r="N746" s="30">
        <v>7032</v>
      </c>
      <c r="O746" s="30">
        <v>7804</v>
      </c>
      <c r="P746" s="31">
        <f>SUM(D746:O746)</f>
        <v>26108</v>
      </c>
      <c r="Q746"/>
    </row>
    <row r="747" spans="2:18" ht="12.75" hidden="1" customHeight="1" x14ac:dyDescent="0.25">
      <c r="B747" s="433"/>
      <c r="C747" s="28" t="s">
        <v>8</v>
      </c>
      <c r="D747" s="29">
        <v>2711</v>
      </c>
      <c r="E747" s="30">
        <v>3430</v>
      </c>
      <c r="F747" s="30">
        <v>3728</v>
      </c>
      <c r="G747" s="30">
        <v>3025</v>
      </c>
      <c r="H747" s="30">
        <v>6126</v>
      </c>
      <c r="I747" s="30">
        <v>4879</v>
      </c>
      <c r="J747" s="30">
        <v>6512</v>
      </c>
      <c r="K747" s="30">
        <v>4636</v>
      </c>
      <c r="L747" s="30">
        <v>5526</v>
      </c>
      <c r="M747" s="30">
        <v>4172</v>
      </c>
      <c r="N747" s="30">
        <v>5563</v>
      </c>
      <c r="O747" s="30">
        <v>8016</v>
      </c>
      <c r="P747" s="31">
        <f>SUM(D747:O747)</f>
        <v>58324</v>
      </c>
      <c r="Q747"/>
    </row>
    <row r="748" spans="2:18" ht="12.75" hidden="1" customHeight="1" x14ac:dyDescent="0.25">
      <c r="B748" s="433"/>
      <c r="C748" s="28" t="s">
        <v>54</v>
      </c>
      <c r="D748" s="29">
        <v>633</v>
      </c>
      <c r="E748" s="30">
        <v>775</v>
      </c>
      <c r="F748" s="30">
        <v>733</v>
      </c>
      <c r="G748" s="30">
        <v>834</v>
      </c>
      <c r="H748" s="30">
        <v>1313</v>
      </c>
      <c r="I748" s="30">
        <v>1909</v>
      </c>
      <c r="J748" s="30">
        <v>986</v>
      </c>
      <c r="K748" s="30">
        <v>942</v>
      </c>
      <c r="L748" s="30">
        <v>1084</v>
      </c>
      <c r="M748" s="30">
        <v>750</v>
      </c>
      <c r="N748" s="30">
        <v>765</v>
      </c>
      <c r="O748" s="30">
        <v>1202</v>
      </c>
      <c r="P748" s="31">
        <f>SUM(D748:O748)</f>
        <v>11926</v>
      </c>
      <c r="Q748"/>
      <c r="R748" s="341"/>
    </row>
    <row r="749" spans="2:18" ht="12.75" hidden="1" customHeight="1" thickBot="1" x14ac:dyDescent="0.3">
      <c r="B749" s="434"/>
      <c r="C749" s="35" t="s">
        <v>0</v>
      </c>
      <c r="D749" s="36">
        <f t="shared" ref="D749:P749" si="191">SUM(D745:D748)</f>
        <v>5026</v>
      </c>
      <c r="E749" s="36">
        <f t="shared" si="191"/>
        <v>5978</v>
      </c>
      <c r="F749" s="36">
        <f t="shared" si="191"/>
        <v>6740</v>
      </c>
      <c r="G749" s="36">
        <f t="shared" si="191"/>
        <v>5302</v>
      </c>
      <c r="H749" s="36">
        <f t="shared" si="191"/>
        <v>9917</v>
      </c>
      <c r="I749" s="36">
        <f t="shared" si="191"/>
        <v>10017</v>
      </c>
      <c r="J749" s="36">
        <f t="shared" si="191"/>
        <v>9594</v>
      </c>
      <c r="K749" s="36">
        <f t="shared" si="191"/>
        <v>7479</v>
      </c>
      <c r="L749" s="36">
        <f t="shared" si="191"/>
        <v>12713</v>
      </c>
      <c r="M749" s="36">
        <f t="shared" si="191"/>
        <v>11545</v>
      </c>
      <c r="N749" s="36">
        <f t="shared" si="191"/>
        <v>13363</v>
      </c>
      <c r="O749" s="36">
        <f t="shared" si="191"/>
        <v>17024</v>
      </c>
      <c r="P749" s="37">
        <f t="shared" si="191"/>
        <v>114698</v>
      </c>
      <c r="Q749" s="339"/>
    </row>
    <row r="750" spans="2:18" ht="12.75" hidden="1" customHeight="1" x14ac:dyDescent="0.25">
      <c r="B750" s="429" t="s">
        <v>9</v>
      </c>
      <c r="C750" s="38" t="s">
        <v>11</v>
      </c>
      <c r="D750" s="39">
        <v>2408</v>
      </c>
      <c r="E750" s="40">
        <v>3482</v>
      </c>
      <c r="F750" s="40">
        <v>3649</v>
      </c>
      <c r="G750" s="40">
        <v>4198</v>
      </c>
      <c r="H750" s="40">
        <v>3279</v>
      </c>
      <c r="I750" s="40">
        <v>4305</v>
      </c>
      <c r="J750" s="40">
        <v>5115</v>
      </c>
      <c r="K750" s="40">
        <v>3673</v>
      </c>
      <c r="L750" s="40">
        <v>4281</v>
      </c>
      <c r="M750" s="40">
        <v>3241</v>
      </c>
      <c r="N750" s="40">
        <v>4131</v>
      </c>
      <c r="O750" s="40">
        <v>5497</v>
      </c>
      <c r="P750" s="41">
        <f>SUM(D750:O750)</f>
        <v>47259</v>
      </c>
      <c r="Q750" s="339"/>
    </row>
    <row r="751" spans="2:18" ht="12.75" hidden="1" customHeight="1" x14ac:dyDescent="0.25">
      <c r="B751" s="430"/>
      <c r="C751" s="24" t="s">
        <v>12</v>
      </c>
      <c r="D751" s="25">
        <v>4083</v>
      </c>
      <c r="E751" s="26">
        <v>5431</v>
      </c>
      <c r="F751" s="26">
        <v>7588</v>
      </c>
      <c r="G751" s="26">
        <v>7614</v>
      </c>
      <c r="H751" s="26">
        <v>5728</v>
      </c>
      <c r="I751" s="26">
        <v>7574</v>
      </c>
      <c r="J751" s="26">
        <v>7663</v>
      </c>
      <c r="K751" s="26">
        <v>5774</v>
      </c>
      <c r="L751" s="26">
        <v>7785</v>
      </c>
      <c r="M751" s="26">
        <v>6622</v>
      </c>
      <c r="N751" s="26">
        <v>6382</v>
      </c>
      <c r="O751" s="26">
        <v>6602</v>
      </c>
      <c r="P751" s="27">
        <f>SUM(D751:O751)</f>
        <v>78846</v>
      </c>
      <c r="Q751" s="20"/>
    </row>
    <row r="752" spans="2:18" ht="12.75" hidden="1" customHeight="1" thickBot="1" x14ac:dyDescent="0.3">
      <c r="B752" s="431"/>
      <c r="C752" s="42" t="s">
        <v>0</v>
      </c>
      <c r="D752" s="43">
        <f t="shared" ref="D752:P752" si="192">SUM(D750:D751)</f>
        <v>6491</v>
      </c>
      <c r="E752" s="43">
        <f t="shared" si="192"/>
        <v>8913</v>
      </c>
      <c r="F752" s="43">
        <f t="shared" si="192"/>
        <v>11237</v>
      </c>
      <c r="G752" s="43">
        <f t="shared" si="192"/>
        <v>11812</v>
      </c>
      <c r="H752" s="43">
        <f t="shared" si="192"/>
        <v>9007</v>
      </c>
      <c r="I752" s="43">
        <f t="shared" si="192"/>
        <v>11879</v>
      </c>
      <c r="J752" s="43">
        <f t="shared" si="192"/>
        <v>12778</v>
      </c>
      <c r="K752" s="43">
        <f t="shared" si="192"/>
        <v>9447</v>
      </c>
      <c r="L752" s="43">
        <f t="shared" si="192"/>
        <v>12066</v>
      </c>
      <c r="M752" s="43">
        <f t="shared" si="192"/>
        <v>9863</v>
      </c>
      <c r="N752" s="43">
        <f t="shared" si="192"/>
        <v>10513</v>
      </c>
      <c r="O752" s="43">
        <f t="shared" si="192"/>
        <v>12099</v>
      </c>
      <c r="P752" s="44">
        <f t="shared" si="192"/>
        <v>126105</v>
      </c>
      <c r="Q752" s="20"/>
    </row>
    <row r="753" spans="2:17" ht="12.75" hidden="1" customHeight="1" x14ac:dyDescent="0.25">
      <c r="B753" s="429" t="s">
        <v>10</v>
      </c>
      <c r="C753" s="38" t="s">
        <v>13</v>
      </c>
      <c r="D753" s="39">
        <v>488</v>
      </c>
      <c r="E753" s="40">
        <v>674</v>
      </c>
      <c r="F753" s="40">
        <v>800</v>
      </c>
      <c r="G753" s="40">
        <v>799</v>
      </c>
      <c r="H753" s="40">
        <v>813</v>
      </c>
      <c r="I753" s="40">
        <v>801</v>
      </c>
      <c r="J753" s="40">
        <v>585</v>
      </c>
      <c r="K753" s="40">
        <v>618</v>
      </c>
      <c r="L753" s="40">
        <v>731</v>
      </c>
      <c r="M753" s="40">
        <v>716</v>
      </c>
      <c r="N753" s="40">
        <v>656</v>
      </c>
      <c r="O753" s="40">
        <v>525</v>
      </c>
      <c r="P753" s="41">
        <f>SUM(D753:O753)</f>
        <v>8206</v>
      </c>
      <c r="Q753" s="339"/>
    </row>
    <row r="754" spans="2:17" ht="12.75" hidden="1" customHeight="1" x14ac:dyDescent="0.25">
      <c r="B754" s="430"/>
      <c r="C754" s="24" t="s">
        <v>14</v>
      </c>
      <c r="D754" s="25">
        <v>865</v>
      </c>
      <c r="E754" s="26">
        <v>1308</v>
      </c>
      <c r="F754" s="26">
        <v>1461</v>
      </c>
      <c r="G754" s="26">
        <v>1585</v>
      </c>
      <c r="H754" s="26">
        <v>1732</v>
      </c>
      <c r="I754" s="26">
        <v>2022</v>
      </c>
      <c r="J754" s="26">
        <v>2003</v>
      </c>
      <c r="K754" s="26">
        <v>1868</v>
      </c>
      <c r="L754" s="26">
        <v>1937</v>
      </c>
      <c r="M754" s="26">
        <v>1988</v>
      </c>
      <c r="N754" s="26">
        <v>1946</v>
      </c>
      <c r="O754" s="26">
        <v>1679</v>
      </c>
      <c r="P754" s="27">
        <f>SUM(D754:O754)</f>
        <v>20394</v>
      </c>
      <c r="Q754" s="20"/>
    </row>
    <row r="755" spans="2:17" ht="12.75" hidden="1" customHeight="1" thickBot="1" x14ac:dyDescent="0.3">
      <c r="B755" s="431"/>
      <c r="C755" s="42" t="s">
        <v>0</v>
      </c>
      <c r="D755" s="43">
        <f t="shared" ref="D755:P755" si="193">SUM(D753:D754)</f>
        <v>1353</v>
      </c>
      <c r="E755" s="43">
        <f t="shared" si="193"/>
        <v>1982</v>
      </c>
      <c r="F755" s="43">
        <f t="shared" si="193"/>
        <v>2261</v>
      </c>
      <c r="G755" s="43">
        <f t="shared" si="193"/>
        <v>2384</v>
      </c>
      <c r="H755" s="43">
        <f t="shared" si="193"/>
        <v>2545</v>
      </c>
      <c r="I755" s="43">
        <f t="shared" si="193"/>
        <v>2823</v>
      </c>
      <c r="J755" s="43">
        <f t="shared" si="193"/>
        <v>2588</v>
      </c>
      <c r="K755" s="43">
        <f t="shared" si="193"/>
        <v>2486</v>
      </c>
      <c r="L755" s="43">
        <f t="shared" si="193"/>
        <v>2668</v>
      </c>
      <c r="M755" s="43">
        <f t="shared" si="193"/>
        <v>2704</v>
      </c>
      <c r="N755" s="43">
        <f t="shared" si="193"/>
        <v>2602</v>
      </c>
      <c r="O755" s="43">
        <f t="shared" si="193"/>
        <v>2204</v>
      </c>
      <c r="P755" s="44">
        <f t="shared" si="193"/>
        <v>28600</v>
      </c>
      <c r="Q755" s="20"/>
    </row>
    <row r="756" spans="2:17" ht="12.75" hidden="1" customHeight="1" thickBot="1" x14ac:dyDescent="0.3">
      <c r="B756" s="440" t="s">
        <v>2</v>
      </c>
      <c r="C756" s="441"/>
      <c r="D756" s="45">
        <f>D744+D749+D755+D752</f>
        <v>35396</v>
      </c>
      <c r="E756" s="45">
        <f t="shared" ref="E756:P756" si="194">E744+E749+E755+E752</f>
        <v>44848</v>
      </c>
      <c r="F756" s="45">
        <f t="shared" si="194"/>
        <v>49114</v>
      </c>
      <c r="G756" s="45">
        <f t="shared" si="194"/>
        <v>47339</v>
      </c>
      <c r="H756" s="45">
        <f t="shared" si="194"/>
        <v>63718</v>
      </c>
      <c r="I756" s="45">
        <f t="shared" si="194"/>
        <v>74685</v>
      </c>
      <c r="J756" s="45">
        <f t="shared" si="194"/>
        <v>60638</v>
      </c>
      <c r="K756" s="45">
        <f t="shared" si="194"/>
        <v>46841</v>
      </c>
      <c r="L756" s="45">
        <f t="shared" si="194"/>
        <v>68570</v>
      </c>
      <c r="M756" s="45">
        <f t="shared" si="194"/>
        <v>66458</v>
      </c>
      <c r="N756" s="45">
        <f t="shared" si="194"/>
        <v>69356</v>
      </c>
      <c r="O756" s="45">
        <f t="shared" si="194"/>
        <v>75709</v>
      </c>
      <c r="P756" s="45">
        <f t="shared" si="194"/>
        <v>702672</v>
      </c>
      <c r="Q756" s="339"/>
    </row>
    <row r="757" spans="2:17" hidden="1" x14ac:dyDescent="0.25"/>
    <row r="758" spans="2:17" hidden="1" x14ac:dyDescent="0.25"/>
    <row r="759" spans="2:17" hidden="1" x14ac:dyDescent="0.25"/>
    <row r="760" spans="2:17" hidden="1" x14ac:dyDescent="0.25"/>
    <row r="761" spans="2:17" hidden="1" x14ac:dyDescent="0.25"/>
    <row r="762" spans="2:17" hidden="1" x14ac:dyDescent="0.25"/>
    <row r="763" spans="2:17" hidden="1" x14ac:dyDescent="0.25"/>
    <row r="764" spans="2:17" hidden="1" x14ac:dyDescent="0.25"/>
    <row r="765" spans="2:17" hidden="1" x14ac:dyDescent="0.25"/>
    <row r="766" spans="2:17" hidden="1" x14ac:dyDescent="0.25"/>
    <row r="767" spans="2:17" hidden="1" x14ac:dyDescent="0.25"/>
    <row r="768" spans="2:17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</sheetData>
  <mergeCells count="99">
    <mergeCell ref="B4:C4"/>
    <mergeCell ref="B20:B22"/>
    <mergeCell ref="B23:B25"/>
    <mergeCell ref="B26:B32"/>
    <mergeCell ref="B33:C33"/>
    <mergeCell ref="B5:B10"/>
    <mergeCell ref="B11:B19"/>
    <mergeCell ref="B750:B752"/>
    <mergeCell ref="B753:B755"/>
    <mergeCell ref="B756:C756"/>
    <mergeCell ref="B726:B728"/>
    <mergeCell ref="B729:C729"/>
    <mergeCell ref="B732:C732"/>
    <mergeCell ref="B733:B744"/>
    <mergeCell ref="B745:B749"/>
    <mergeCell ref="B688:C688"/>
    <mergeCell ref="B703:C703"/>
    <mergeCell ref="B704:B717"/>
    <mergeCell ref="B718:B722"/>
    <mergeCell ref="B723:B725"/>
    <mergeCell ref="B621:B633"/>
    <mergeCell ref="B634:B637"/>
    <mergeCell ref="B638:B640"/>
    <mergeCell ref="B641:B643"/>
    <mergeCell ref="B644:C644"/>
    <mergeCell ref="B664:C664"/>
    <mergeCell ref="B665:B677"/>
    <mergeCell ref="B678:B681"/>
    <mergeCell ref="B682:B684"/>
    <mergeCell ref="B685:B687"/>
    <mergeCell ref="B605:B607"/>
    <mergeCell ref="B608:C608"/>
    <mergeCell ref="B620:C620"/>
    <mergeCell ref="B567:C567"/>
    <mergeCell ref="B585:C585"/>
    <mergeCell ref="B586:B596"/>
    <mergeCell ref="B597:B601"/>
    <mergeCell ref="B602:B604"/>
    <mergeCell ref="B543:C543"/>
    <mergeCell ref="B544:B555"/>
    <mergeCell ref="B556:B560"/>
    <mergeCell ref="B561:B563"/>
    <mergeCell ref="B564:B566"/>
    <mergeCell ref="B156:C156"/>
    <mergeCell ref="B157:B163"/>
    <mergeCell ref="B164:B172"/>
    <mergeCell ref="B173:B176"/>
    <mergeCell ref="B177:B179"/>
    <mergeCell ref="B228:B236"/>
    <mergeCell ref="B237:B243"/>
    <mergeCell ref="B244:B246"/>
    <mergeCell ref="B247:B249"/>
    <mergeCell ref="B250:B255"/>
    <mergeCell ref="B453:C453"/>
    <mergeCell ref="B454:B465"/>
    <mergeCell ref="B466:B469"/>
    <mergeCell ref="B470:B472"/>
    <mergeCell ref="B473:B475"/>
    <mergeCell ref="B479:C479"/>
    <mergeCell ref="B476:B478"/>
    <mergeCell ref="B523:C523"/>
    <mergeCell ref="B496:C496"/>
    <mergeCell ref="B497:B508"/>
    <mergeCell ref="B509:B513"/>
    <mergeCell ref="B517:B519"/>
    <mergeCell ref="B514:B516"/>
    <mergeCell ref="B520:B522"/>
    <mergeCell ref="B374:B376"/>
    <mergeCell ref="B377:B380"/>
    <mergeCell ref="B435:C435"/>
    <mergeCell ref="B409:C409"/>
    <mergeCell ref="B410:B419"/>
    <mergeCell ref="B420:B424"/>
    <mergeCell ref="B425:B427"/>
    <mergeCell ref="B428:B430"/>
    <mergeCell ref="B431:B434"/>
    <mergeCell ref="B381:C381"/>
    <mergeCell ref="B353:C353"/>
    <mergeCell ref="B354:B363"/>
    <mergeCell ref="B364:B370"/>
    <mergeCell ref="B371:B373"/>
    <mergeCell ref="B111:C111"/>
    <mergeCell ref="B180:B186"/>
    <mergeCell ref="B187:C187"/>
    <mergeCell ref="B323:C323"/>
    <mergeCell ref="B296:C296"/>
    <mergeCell ref="B297:B305"/>
    <mergeCell ref="B306:B312"/>
    <mergeCell ref="B313:B315"/>
    <mergeCell ref="B316:B318"/>
    <mergeCell ref="B319:B322"/>
    <mergeCell ref="B256:C256"/>
    <mergeCell ref="B227:C227"/>
    <mergeCell ref="B104:B110"/>
    <mergeCell ref="B79:C79"/>
    <mergeCell ref="B80:B87"/>
    <mergeCell ref="B88:B96"/>
    <mergeCell ref="B97:B100"/>
    <mergeCell ref="B101:B103"/>
  </mergeCells>
  <phoneticPr fontId="2" type="noConversion"/>
  <printOptions horizontalCentered="1"/>
  <pageMargins left="0.25" right="0.25" top="0.75" bottom="0.75" header="0.3" footer="0.3"/>
  <pageSetup paperSize="9" scale="88" orientation="portrait" r:id="rId1"/>
  <headerFooter alignWithMargins="0"/>
  <ignoredErrors>
    <ignoredError sqref="N236:O236 J236:M236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30"/>
  <sheetViews>
    <sheetView showGridLines="0" zoomScale="110" zoomScaleNormal="110" workbookViewId="0">
      <selection activeCell="G5" sqref="G5"/>
    </sheetView>
  </sheetViews>
  <sheetFormatPr defaultRowHeight="14.4" x14ac:dyDescent="0.25"/>
  <cols>
    <col min="1" max="1" width="7.19921875" customWidth="1"/>
    <col min="2" max="2" width="7.19921875" style="1" customWidth="1"/>
    <col min="3" max="5" width="19.09765625" customWidth="1"/>
    <col min="6" max="6" width="2.3984375" style="6" customWidth="1"/>
    <col min="7" max="9" width="10.19921875" bestFit="1" customWidth="1"/>
  </cols>
  <sheetData>
    <row r="1" spans="1:6" ht="15" thickBot="1" x14ac:dyDescent="0.3"/>
    <row r="2" spans="1:6" ht="15" customHeight="1" x14ac:dyDescent="0.25">
      <c r="A2" s="451"/>
      <c r="B2" s="452"/>
      <c r="C2" s="455" t="s">
        <v>16</v>
      </c>
      <c r="D2" s="457" t="s">
        <v>15</v>
      </c>
      <c r="E2" s="446" t="s">
        <v>0</v>
      </c>
      <c r="F2" s="15"/>
    </row>
    <row r="3" spans="1:6" ht="15" customHeight="1" thickBot="1" x14ac:dyDescent="0.3">
      <c r="A3" s="453"/>
      <c r="B3" s="454"/>
      <c r="C3" s="456"/>
      <c r="D3" s="458"/>
      <c r="E3" s="447"/>
      <c r="F3" s="15"/>
    </row>
    <row r="4" spans="1:6" ht="15" customHeight="1" x14ac:dyDescent="0.25">
      <c r="A4" s="448" t="s">
        <v>223</v>
      </c>
      <c r="B4" s="12">
        <v>1</v>
      </c>
      <c r="C4" s="162">
        <v>51503</v>
      </c>
      <c r="D4" s="163">
        <v>254793</v>
      </c>
      <c r="E4" s="164">
        <f t="shared" ref="E4:E9" si="0">SUM(C4:D4)</f>
        <v>306296</v>
      </c>
      <c r="F4" s="15"/>
    </row>
    <row r="5" spans="1:6" ht="15" customHeight="1" x14ac:dyDescent="0.25">
      <c r="A5" s="449"/>
      <c r="B5" s="13" t="s">
        <v>69</v>
      </c>
      <c r="C5" s="165"/>
      <c r="D5" s="166"/>
      <c r="E5" s="167">
        <f t="shared" si="0"/>
        <v>0</v>
      </c>
      <c r="F5" s="15"/>
    </row>
    <row r="6" spans="1:6" ht="15" customHeight="1" x14ac:dyDescent="0.25">
      <c r="A6" s="449"/>
      <c r="B6" s="13" t="s">
        <v>168</v>
      </c>
      <c r="C6" s="165"/>
      <c r="D6" s="166"/>
      <c r="E6" s="167">
        <f t="shared" si="0"/>
        <v>0</v>
      </c>
    </row>
    <row r="7" spans="1:6" ht="15" customHeight="1" x14ac:dyDescent="0.25">
      <c r="A7" s="449"/>
      <c r="B7" s="13" t="s">
        <v>70</v>
      </c>
      <c r="C7" s="165"/>
      <c r="D7" s="166"/>
      <c r="E7" s="167">
        <f t="shared" si="0"/>
        <v>0</v>
      </c>
    </row>
    <row r="8" spans="1:6" ht="15" customHeight="1" x14ac:dyDescent="0.25">
      <c r="A8" s="449"/>
      <c r="B8" s="13" t="s">
        <v>71</v>
      </c>
      <c r="C8" s="165"/>
      <c r="D8" s="166"/>
      <c r="E8" s="167">
        <f t="shared" si="0"/>
        <v>0</v>
      </c>
    </row>
    <row r="9" spans="1:6" ht="15" customHeight="1" x14ac:dyDescent="0.25">
      <c r="A9" s="449"/>
      <c r="B9" s="13" t="s">
        <v>72</v>
      </c>
      <c r="C9" s="165"/>
      <c r="D9" s="166"/>
      <c r="E9" s="167">
        <f t="shared" si="0"/>
        <v>0</v>
      </c>
    </row>
    <row r="10" spans="1:6" ht="15" customHeight="1" x14ac:dyDescent="0.25">
      <c r="A10" s="449"/>
      <c r="B10" s="13" t="s">
        <v>75</v>
      </c>
      <c r="C10" s="165"/>
      <c r="D10" s="166"/>
      <c r="E10" s="167">
        <f t="shared" ref="E10:E15" si="1">SUM(C10:D10)</f>
        <v>0</v>
      </c>
    </row>
    <row r="11" spans="1:6" ht="15" customHeight="1" x14ac:dyDescent="0.25">
      <c r="A11" s="449"/>
      <c r="B11" s="13" t="s">
        <v>76</v>
      </c>
      <c r="C11" s="165"/>
      <c r="D11" s="166"/>
      <c r="E11" s="167">
        <f t="shared" si="1"/>
        <v>0</v>
      </c>
    </row>
    <row r="12" spans="1:6" ht="15" customHeight="1" x14ac:dyDescent="0.25">
      <c r="A12" s="449"/>
      <c r="B12" s="13" t="s">
        <v>77</v>
      </c>
      <c r="C12" s="165"/>
      <c r="D12" s="166"/>
      <c r="E12" s="167">
        <f t="shared" si="1"/>
        <v>0</v>
      </c>
    </row>
    <row r="13" spans="1:6" ht="15" customHeight="1" x14ac:dyDescent="0.25">
      <c r="A13" s="449"/>
      <c r="B13" s="13" t="s">
        <v>78</v>
      </c>
      <c r="C13" s="165"/>
      <c r="D13" s="166"/>
      <c r="E13" s="167">
        <f t="shared" si="1"/>
        <v>0</v>
      </c>
    </row>
    <row r="14" spans="1:6" ht="15" customHeight="1" x14ac:dyDescent="0.25">
      <c r="A14" s="449"/>
      <c r="B14" s="13" t="s">
        <v>80</v>
      </c>
      <c r="C14" s="165"/>
      <c r="D14" s="166"/>
      <c r="E14" s="167">
        <f t="shared" si="1"/>
        <v>0</v>
      </c>
    </row>
    <row r="15" spans="1:6" ht="15" customHeight="1" thickBot="1" x14ac:dyDescent="0.3">
      <c r="A15" s="450"/>
      <c r="B15" s="14" t="s">
        <v>81</v>
      </c>
      <c r="C15" s="168"/>
      <c r="D15" s="169"/>
      <c r="E15" s="167">
        <f t="shared" si="1"/>
        <v>0</v>
      </c>
    </row>
    <row r="16" spans="1:6" ht="15.6" thickTop="1" thickBot="1" x14ac:dyDescent="0.3">
      <c r="A16" s="10"/>
      <c r="B16" s="11" t="s">
        <v>0</v>
      </c>
      <c r="C16" s="171">
        <f>SUM(C4:C15)</f>
        <v>51503</v>
      </c>
      <c r="D16" s="172">
        <f>SUM(D4:D15)</f>
        <v>254793</v>
      </c>
      <c r="E16" s="173">
        <f>SUM(E4:E15)</f>
        <v>306296</v>
      </c>
    </row>
    <row r="17" spans="1:6" ht="15" thickBot="1" x14ac:dyDescent="0.3"/>
    <row r="18" spans="1:6" ht="15" customHeight="1" x14ac:dyDescent="0.25">
      <c r="A18" s="451"/>
      <c r="B18" s="452"/>
      <c r="C18" s="455" t="s">
        <v>16</v>
      </c>
      <c r="D18" s="457" t="s">
        <v>15</v>
      </c>
      <c r="E18" s="446" t="s">
        <v>0</v>
      </c>
      <c r="F18" s="15"/>
    </row>
    <row r="19" spans="1:6" ht="15" customHeight="1" thickBot="1" x14ac:dyDescent="0.3">
      <c r="A19" s="453"/>
      <c r="B19" s="454"/>
      <c r="C19" s="456"/>
      <c r="D19" s="458"/>
      <c r="E19" s="447"/>
      <c r="F19" s="15"/>
    </row>
    <row r="20" spans="1:6" ht="15" customHeight="1" x14ac:dyDescent="0.25">
      <c r="A20" s="448" t="s">
        <v>191</v>
      </c>
      <c r="B20" s="12">
        <v>1</v>
      </c>
      <c r="C20" s="162">
        <v>46205</v>
      </c>
      <c r="D20" s="163">
        <f>69927+166524</f>
        <v>236451</v>
      </c>
      <c r="E20" s="164">
        <f t="shared" ref="E20:E25" si="2">SUM(C20:D20)</f>
        <v>282656</v>
      </c>
      <c r="F20" s="15"/>
    </row>
    <row r="21" spans="1:6" ht="15" customHeight="1" x14ac:dyDescent="0.25">
      <c r="A21" s="449"/>
      <c r="B21" s="13" t="s">
        <v>165</v>
      </c>
      <c r="C21" s="165">
        <v>53010</v>
      </c>
      <c r="D21" s="166">
        <f>76292+176029</f>
        <v>252321</v>
      </c>
      <c r="E21" s="167">
        <f t="shared" si="2"/>
        <v>305331</v>
      </c>
      <c r="F21" s="15"/>
    </row>
    <row r="22" spans="1:6" ht="15" customHeight="1" x14ac:dyDescent="0.25">
      <c r="A22" s="449"/>
      <c r="B22" s="13" t="s">
        <v>168</v>
      </c>
      <c r="C22" s="165">
        <v>52883</v>
      </c>
      <c r="D22" s="166">
        <f>77812+184009</f>
        <v>261821</v>
      </c>
      <c r="E22" s="167">
        <f t="shared" si="2"/>
        <v>314704</v>
      </c>
    </row>
    <row r="23" spans="1:6" ht="15" customHeight="1" x14ac:dyDescent="0.25">
      <c r="A23" s="449"/>
      <c r="B23" s="13" t="s">
        <v>169</v>
      </c>
      <c r="C23" s="165">
        <v>59415</v>
      </c>
      <c r="D23" s="166">
        <f>78895+171566</f>
        <v>250461</v>
      </c>
      <c r="E23" s="167">
        <f t="shared" si="2"/>
        <v>309876</v>
      </c>
    </row>
    <row r="24" spans="1:6" ht="15" customHeight="1" x14ac:dyDescent="0.25">
      <c r="A24" s="449"/>
      <c r="B24" s="13" t="s">
        <v>174</v>
      </c>
      <c r="C24" s="165">
        <v>63373</v>
      </c>
      <c r="D24" s="166">
        <f>86015+174445</f>
        <v>260460</v>
      </c>
      <c r="E24" s="167">
        <f t="shared" si="2"/>
        <v>323833</v>
      </c>
    </row>
    <row r="25" spans="1:6" ht="15" customHeight="1" x14ac:dyDescent="0.25">
      <c r="A25" s="449"/>
      <c r="B25" s="13" t="s">
        <v>175</v>
      </c>
      <c r="C25" s="165">
        <v>59510</v>
      </c>
      <c r="D25" s="166">
        <f>87262+195869</f>
        <v>283131</v>
      </c>
      <c r="E25" s="167">
        <f t="shared" si="2"/>
        <v>342641</v>
      </c>
    </row>
    <row r="26" spans="1:6" ht="15" customHeight="1" x14ac:dyDescent="0.25">
      <c r="A26" s="449"/>
      <c r="B26" s="13" t="s">
        <v>177</v>
      </c>
      <c r="C26" s="165">
        <v>56305</v>
      </c>
      <c r="D26" s="166">
        <f>82275+192266</f>
        <v>274541</v>
      </c>
      <c r="E26" s="167">
        <f t="shared" ref="E26:E31" si="3">SUM(C26:D26)</f>
        <v>330846</v>
      </c>
    </row>
    <row r="27" spans="1:6" ht="15" customHeight="1" x14ac:dyDescent="0.25">
      <c r="A27" s="449"/>
      <c r="B27" s="13" t="s">
        <v>181</v>
      </c>
      <c r="C27" s="165">
        <v>49224</v>
      </c>
      <c r="D27" s="166">
        <f>87431+199954</f>
        <v>287385</v>
      </c>
      <c r="E27" s="167">
        <f t="shared" si="3"/>
        <v>336609</v>
      </c>
    </row>
    <row r="28" spans="1:6" ht="15" customHeight="1" x14ac:dyDescent="0.25">
      <c r="A28" s="449"/>
      <c r="B28" s="13" t="s">
        <v>182</v>
      </c>
      <c r="C28" s="165">
        <v>56910</v>
      </c>
      <c r="D28" s="166">
        <f>85310+215335</f>
        <v>300645</v>
      </c>
      <c r="E28" s="167">
        <f t="shared" si="3"/>
        <v>357555</v>
      </c>
    </row>
    <row r="29" spans="1:6" ht="15" customHeight="1" x14ac:dyDescent="0.25">
      <c r="A29" s="449"/>
      <c r="B29" s="13" t="s">
        <v>185</v>
      </c>
      <c r="C29" s="165">
        <v>60736</v>
      </c>
      <c r="D29" s="166">
        <f>85557+198617</f>
        <v>284174</v>
      </c>
      <c r="E29" s="167">
        <f t="shared" si="3"/>
        <v>344910</v>
      </c>
    </row>
    <row r="30" spans="1:6" ht="15" customHeight="1" x14ac:dyDescent="0.25">
      <c r="A30" s="449"/>
      <c r="B30" s="13" t="s">
        <v>188</v>
      </c>
      <c r="C30" s="165">
        <v>60926</v>
      </c>
      <c r="D30" s="166">
        <f>90898+196456</f>
        <v>287354</v>
      </c>
      <c r="E30" s="167">
        <f t="shared" si="3"/>
        <v>348280</v>
      </c>
    </row>
    <row r="31" spans="1:6" ht="15" customHeight="1" thickBot="1" x14ac:dyDescent="0.3">
      <c r="A31" s="450"/>
      <c r="B31" s="14" t="s">
        <v>189</v>
      </c>
      <c r="C31" s="168">
        <v>70387</v>
      </c>
      <c r="D31" s="169">
        <f>94905+180392</f>
        <v>275297</v>
      </c>
      <c r="E31" s="167">
        <f t="shared" si="3"/>
        <v>345684</v>
      </c>
    </row>
    <row r="32" spans="1:6" ht="15.6" thickTop="1" thickBot="1" x14ac:dyDescent="0.3">
      <c r="A32" s="10"/>
      <c r="B32" s="11" t="s">
        <v>0</v>
      </c>
      <c r="C32" s="171">
        <f>SUM(C20:C31)</f>
        <v>688884</v>
      </c>
      <c r="D32" s="172">
        <f>SUM(D20:D31)</f>
        <v>3254041</v>
      </c>
      <c r="E32" s="173">
        <f>SUM(E20:E31)</f>
        <v>3942925</v>
      </c>
    </row>
    <row r="33" spans="1:8" ht="15" hidden="1" thickBot="1" x14ac:dyDescent="0.3"/>
    <row r="34" spans="1:8" ht="15" hidden="1" customHeight="1" x14ac:dyDescent="0.25">
      <c r="A34" s="451"/>
      <c r="B34" s="452"/>
      <c r="C34" s="455" t="s">
        <v>16</v>
      </c>
      <c r="D34" s="457" t="s">
        <v>15</v>
      </c>
      <c r="E34" s="446" t="s">
        <v>0</v>
      </c>
      <c r="F34" s="15"/>
    </row>
    <row r="35" spans="1:8" ht="15" hidden="1" customHeight="1" thickBot="1" x14ac:dyDescent="0.3">
      <c r="A35" s="453"/>
      <c r="B35" s="454"/>
      <c r="C35" s="456"/>
      <c r="D35" s="458"/>
      <c r="E35" s="447"/>
      <c r="F35" s="15"/>
      <c r="H35" s="283"/>
    </row>
    <row r="36" spans="1:8" ht="15" hidden="1" customHeight="1" x14ac:dyDescent="0.25">
      <c r="A36" s="448" t="s">
        <v>164</v>
      </c>
      <c r="B36" s="12">
        <v>1</v>
      </c>
      <c r="C36" s="162">
        <v>59501</v>
      </c>
      <c r="D36" s="163">
        <f>72046+189521</f>
        <v>261567</v>
      </c>
      <c r="E36" s="164">
        <f t="shared" ref="E36:E41" si="4">C36+D36</f>
        <v>321068</v>
      </c>
      <c r="F36" s="15"/>
      <c r="H36" s="283"/>
    </row>
    <row r="37" spans="1:8" ht="15" hidden="1" customHeight="1" x14ac:dyDescent="0.25">
      <c r="A37" s="449"/>
      <c r="B37" s="13" t="s">
        <v>165</v>
      </c>
      <c r="C37" s="165">
        <v>52102</v>
      </c>
      <c r="D37" s="166">
        <f>66346+182066</f>
        <v>248412</v>
      </c>
      <c r="E37" s="167">
        <f t="shared" si="4"/>
        <v>300514</v>
      </c>
      <c r="F37" s="15"/>
      <c r="H37" s="283"/>
    </row>
    <row r="38" spans="1:8" ht="15" hidden="1" customHeight="1" x14ac:dyDescent="0.25">
      <c r="A38" s="449"/>
      <c r="B38" s="13" t="s">
        <v>168</v>
      </c>
      <c r="C38" s="165">
        <v>73810</v>
      </c>
      <c r="D38" s="166">
        <f>82616+221820</f>
        <v>304436</v>
      </c>
      <c r="E38" s="167">
        <f t="shared" si="4"/>
        <v>378246</v>
      </c>
      <c r="H38" s="283"/>
    </row>
    <row r="39" spans="1:8" ht="15" hidden="1" customHeight="1" x14ac:dyDescent="0.25">
      <c r="A39" s="449"/>
      <c r="B39" s="13" t="s">
        <v>169</v>
      </c>
      <c r="C39" s="165">
        <v>70219</v>
      </c>
      <c r="D39" s="166">
        <f>76112+202853</f>
        <v>278965</v>
      </c>
      <c r="E39" s="167">
        <f t="shared" si="4"/>
        <v>349184</v>
      </c>
    </row>
    <row r="40" spans="1:8" ht="15" hidden="1" customHeight="1" x14ac:dyDescent="0.25">
      <c r="A40" s="449"/>
      <c r="B40" s="13" t="s">
        <v>174</v>
      </c>
      <c r="C40" s="165">
        <v>62056</v>
      </c>
      <c r="D40" s="166">
        <f>83951+179535</f>
        <v>263486</v>
      </c>
      <c r="E40" s="167">
        <f t="shared" si="4"/>
        <v>325542</v>
      </c>
    </row>
    <row r="41" spans="1:8" ht="15" hidden="1" customHeight="1" x14ac:dyDescent="0.25">
      <c r="A41" s="449"/>
      <c r="B41" s="13" t="s">
        <v>175</v>
      </c>
      <c r="C41" s="165">
        <v>68407</v>
      </c>
      <c r="D41" s="166">
        <f>85177+203047</f>
        <v>288224</v>
      </c>
      <c r="E41" s="167">
        <f t="shared" si="4"/>
        <v>356631</v>
      </c>
      <c r="H41" s="283"/>
    </row>
    <row r="42" spans="1:8" ht="15" hidden="1" customHeight="1" x14ac:dyDescent="0.25">
      <c r="A42" s="449"/>
      <c r="B42" s="13" t="s">
        <v>177</v>
      </c>
      <c r="C42" s="165">
        <v>59856</v>
      </c>
      <c r="D42" s="166">
        <f>74804+178800</f>
        <v>253604</v>
      </c>
      <c r="E42" s="167">
        <f>SUM(C42+D42)</f>
        <v>313460</v>
      </c>
      <c r="H42" s="283"/>
    </row>
    <row r="43" spans="1:8" ht="15" hidden="1" customHeight="1" x14ac:dyDescent="0.25">
      <c r="A43" s="449"/>
      <c r="B43" s="13" t="s">
        <v>181</v>
      </c>
      <c r="C43" s="165">
        <v>51034</v>
      </c>
      <c r="D43" s="166">
        <f>74986+173984</f>
        <v>248970</v>
      </c>
      <c r="E43" s="167">
        <f>SUM(C43+D43)</f>
        <v>300004</v>
      </c>
      <c r="H43" s="283"/>
    </row>
    <row r="44" spans="1:8" ht="15" hidden="1" customHeight="1" x14ac:dyDescent="0.25">
      <c r="A44" s="449"/>
      <c r="B44" s="13" t="s">
        <v>182</v>
      </c>
      <c r="C44" s="165">
        <v>43857</v>
      </c>
      <c r="D44" s="166">
        <f>79193+162388</f>
        <v>241581</v>
      </c>
      <c r="E44" s="167">
        <f>SUM(C44:D44)</f>
        <v>285438</v>
      </c>
    </row>
    <row r="45" spans="1:8" ht="15" hidden="1" customHeight="1" x14ac:dyDescent="0.25">
      <c r="A45" s="449"/>
      <c r="B45" s="13" t="s">
        <v>185</v>
      </c>
      <c r="C45" s="165">
        <v>57813</v>
      </c>
      <c r="D45" s="166">
        <f>84242+167426</f>
        <v>251668</v>
      </c>
      <c r="E45" s="167">
        <f>SUM(C45:D45)</f>
        <v>309481</v>
      </c>
    </row>
    <row r="46" spans="1:8" ht="15" hidden="1" customHeight="1" x14ac:dyDescent="0.25">
      <c r="A46" s="449"/>
      <c r="B46" s="13" t="s">
        <v>188</v>
      </c>
      <c r="C46" s="165">
        <v>62071</v>
      </c>
      <c r="D46" s="166">
        <f>71409+183701</f>
        <v>255110</v>
      </c>
      <c r="E46" s="167">
        <f>SUM(C46:D46)</f>
        <v>317181</v>
      </c>
    </row>
    <row r="47" spans="1:8" ht="15" hidden="1" customHeight="1" thickBot="1" x14ac:dyDescent="0.3">
      <c r="A47" s="450"/>
      <c r="B47" s="14" t="s">
        <v>189</v>
      </c>
      <c r="C47" s="168">
        <v>66112</v>
      </c>
      <c r="D47" s="169">
        <f>77405+190460</f>
        <v>267865</v>
      </c>
      <c r="E47" s="170">
        <f>SUM(C47:D47)</f>
        <v>333977</v>
      </c>
    </row>
    <row r="48" spans="1:8" ht="15.6" hidden="1" thickTop="1" thickBot="1" x14ac:dyDescent="0.3">
      <c r="A48" s="10"/>
      <c r="B48" s="11" t="s">
        <v>0</v>
      </c>
      <c r="C48" s="171">
        <f>SUM(C36:C47)</f>
        <v>726838</v>
      </c>
      <c r="D48" s="172">
        <f>SUM(D36:D47)</f>
        <v>3163888</v>
      </c>
      <c r="E48" s="173">
        <f>SUM(E36:E47)</f>
        <v>3890726</v>
      </c>
    </row>
    <row r="49" spans="1:9" ht="13.5" hidden="1" customHeight="1" thickBot="1" x14ac:dyDescent="0.3">
      <c r="A49" s="2"/>
      <c r="B49" s="7"/>
      <c r="C49" s="2"/>
      <c r="D49" s="2"/>
      <c r="E49" s="2"/>
      <c r="F49" s="15"/>
    </row>
    <row r="50" spans="1:9" ht="15" hidden="1" customHeight="1" x14ac:dyDescent="0.25">
      <c r="A50" s="451"/>
      <c r="B50" s="452"/>
      <c r="C50" s="455" t="s">
        <v>16</v>
      </c>
      <c r="D50" s="457" t="s">
        <v>15</v>
      </c>
      <c r="E50" s="446" t="s">
        <v>0</v>
      </c>
      <c r="F50" s="15"/>
    </row>
    <row r="51" spans="1:9" ht="15" hidden="1" customHeight="1" thickBot="1" x14ac:dyDescent="0.3">
      <c r="A51" s="453"/>
      <c r="B51" s="454"/>
      <c r="C51" s="456"/>
      <c r="D51" s="458"/>
      <c r="E51" s="447"/>
      <c r="F51" s="15"/>
    </row>
    <row r="52" spans="1:9" ht="15" hidden="1" customHeight="1" x14ac:dyDescent="0.25">
      <c r="A52" s="448" t="s">
        <v>146</v>
      </c>
      <c r="B52" s="12">
        <v>1</v>
      </c>
      <c r="C52" s="162">
        <v>47591</v>
      </c>
      <c r="D52" s="163">
        <v>267234</v>
      </c>
      <c r="E52" s="164">
        <f t="shared" ref="E52:E63" si="5">C52+D52</f>
        <v>314825</v>
      </c>
      <c r="F52" s="15"/>
    </row>
    <row r="53" spans="1:9" ht="15" hidden="1" customHeight="1" x14ac:dyDescent="0.25">
      <c r="A53" s="449"/>
      <c r="B53" s="13" t="s">
        <v>69</v>
      </c>
      <c r="C53" s="165">
        <v>39290</v>
      </c>
      <c r="D53" s="166">
        <v>242073</v>
      </c>
      <c r="E53" s="167">
        <f t="shared" si="5"/>
        <v>281363</v>
      </c>
      <c r="F53" s="15"/>
    </row>
    <row r="54" spans="1:9" ht="15" hidden="1" customHeight="1" x14ac:dyDescent="0.25">
      <c r="A54" s="449"/>
      <c r="B54" s="13">
        <v>3</v>
      </c>
      <c r="C54" s="165">
        <v>72180</v>
      </c>
      <c r="D54" s="166">
        <v>234996</v>
      </c>
      <c r="E54" s="167">
        <f t="shared" si="5"/>
        <v>307176</v>
      </c>
    </row>
    <row r="55" spans="1:9" ht="15" hidden="1" customHeight="1" x14ac:dyDescent="0.25">
      <c r="A55" s="449"/>
      <c r="B55" s="13" t="s">
        <v>70</v>
      </c>
      <c r="C55" s="165">
        <v>71042</v>
      </c>
      <c r="D55" s="166">
        <v>96651</v>
      </c>
      <c r="E55" s="167">
        <f t="shared" si="5"/>
        <v>167693</v>
      </c>
    </row>
    <row r="56" spans="1:9" ht="15" hidden="1" customHeight="1" x14ac:dyDescent="0.25">
      <c r="A56" s="449"/>
      <c r="B56" s="13" t="s">
        <v>71</v>
      </c>
      <c r="C56" s="165">
        <v>70810</v>
      </c>
      <c r="D56" s="166">
        <v>155646</v>
      </c>
      <c r="E56" s="167">
        <f t="shared" si="5"/>
        <v>226456</v>
      </c>
    </row>
    <row r="57" spans="1:9" ht="15" hidden="1" customHeight="1" x14ac:dyDescent="0.25">
      <c r="A57" s="449"/>
      <c r="B57" s="13" t="s">
        <v>72</v>
      </c>
      <c r="C57" s="165">
        <v>83700</v>
      </c>
      <c r="D57" s="166">
        <v>226127</v>
      </c>
      <c r="E57" s="167">
        <f t="shared" si="5"/>
        <v>309827</v>
      </c>
    </row>
    <row r="58" spans="1:9" ht="15" hidden="1" customHeight="1" x14ac:dyDescent="0.25">
      <c r="A58" s="449"/>
      <c r="B58" s="13" t="s">
        <v>75</v>
      </c>
      <c r="C58" s="165">
        <v>77381</v>
      </c>
      <c r="D58" s="166">
        <v>240022</v>
      </c>
      <c r="E58" s="167">
        <f t="shared" si="5"/>
        <v>317403</v>
      </c>
      <c r="I58" s="283"/>
    </row>
    <row r="59" spans="1:9" ht="15" hidden="1" customHeight="1" x14ac:dyDescent="0.25">
      <c r="A59" s="449"/>
      <c r="B59" s="13" t="s">
        <v>76</v>
      </c>
      <c r="C59" s="165">
        <v>54590</v>
      </c>
      <c r="D59" s="166">
        <v>264110</v>
      </c>
      <c r="E59" s="167">
        <f t="shared" si="5"/>
        <v>318700</v>
      </c>
    </row>
    <row r="60" spans="1:9" ht="15" hidden="1" customHeight="1" x14ac:dyDescent="0.25">
      <c r="A60" s="449"/>
      <c r="B60" s="13" t="s">
        <v>77</v>
      </c>
      <c r="C60" s="165">
        <v>67080</v>
      </c>
      <c r="D60" s="166">
        <v>294631</v>
      </c>
      <c r="E60" s="167">
        <f t="shared" si="5"/>
        <v>361711</v>
      </c>
    </row>
    <row r="61" spans="1:9" ht="15" hidden="1" customHeight="1" x14ac:dyDescent="0.25">
      <c r="A61" s="449"/>
      <c r="B61" s="13" t="s">
        <v>78</v>
      </c>
      <c r="C61" s="165">
        <v>65669</v>
      </c>
      <c r="D61" s="166">
        <v>321528</v>
      </c>
      <c r="E61" s="167">
        <f t="shared" si="5"/>
        <v>387197</v>
      </c>
    </row>
    <row r="62" spans="1:9" ht="15" hidden="1" customHeight="1" x14ac:dyDescent="0.25">
      <c r="A62" s="449"/>
      <c r="B62" s="13" t="s">
        <v>80</v>
      </c>
      <c r="C62" s="165">
        <v>70035</v>
      </c>
      <c r="D62" s="166">
        <v>307158</v>
      </c>
      <c r="E62" s="167">
        <f t="shared" si="5"/>
        <v>377193</v>
      </c>
    </row>
    <row r="63" spans="1:9" ht="15" hidden="1" customHeight="1" thickBot="1" x14ac:dyDescent="0.3">
      <c r="A63" s="450"/>
      <c r="B63" s="14" t="s">
        <v>81</v>
      </c>
      <c r="C63" s="168">
        <v>68486</v>
      </c>
      <c r="D63" s="169">
        <v>306707</v>
      </c>
      <c r="E63" s="170">
        <f t="shared" si="5"/>
        <v>375193</v>
      </c>
    </row>
    <row r="64" spans="1:9" ht="15.6" hidden="1" thickTop="1" thickBot="1" x14ac:dyDescent="0.3">
      <c r="A64" s="10"/>
      <c r="B64" s="11" t="s">
        <v>0</v>
      </c>
      <c r="C64" s="171">
        <f>SUM(C52:C63)</f>
        <v>787854</v>
      </c>
      <c r="D64" s="172">
        <f>SUM(D52:D63)</f>
        <v>2956883</v>
      </c>
      <c r="E64" s="173">
        <f>SUM(E52:E63)</f>
        <v>3744737</v>
      </c>
    </row>
    <row r="65" spans="1:5" ht="15" hidden="1" thickBot="1" x14ac:dyDescent="0.3">
      <c r="A65" s="255"/>
      <c r="B65" s="255"/>
      <c r="C65" s="256"/>
      <c r="D65" s="256"/>
      <c r="E65" s="256"/>
    </row>
    <row r="66" spans="1:5" hidden="1" x14ac:dyDescent="0.25">
      <c r="A66" s="451"/>
      <c r="B66" s="452"/>
      <c r="C66" s="455" t="s">
        <v>16</v>
      </c>
      <c r="D66" s="457" t="s">
        <v>15</v>
      </c>
      <c r="E66" s="446" t="s">
        <v>0</v>
      </c>
    </row>
    <row r="67" spans="1:5" ht="15" hidden="1" thickBot="1" x14ac:dyDescent="0.3">
      <c r="A67" s="453"/>
      <c r="B67" s="454"/>
      <c r="C67" s="456"/>
      <c r="D67" s="458"/>
      <c r="E67" s="447"/>
    </row>
    <row r="68" spans="1:5" hidden="1" x14ac:dyDescent="0.25">
      <c r="A68" s="448" t="s">
        <v>167</v>
      </c>
      <c r="B68" s="12">
        <v>1</v>
      </c>
      <c r="C68" s="162">
        <v>60440</v>
      </c>
      <c r="D68" s="163">
        <v>254954</v>
      </c>
      <c r="E68" s="164">
        <f t="shared" ref="E68:E79" si="6">C68+D68</f>
        <v>315394</v>
      </c>
    </row>
    <row r="69" spans="1:5" hidden="1" x14ac:dyDescent="0.25">
      <c r="A69" s="449"/>
      <c r="B69" s="13" t="s">
        <v>69</v>
      </c>
      <c r="C69" s="165">
        <v>53406</v>
      </c>
      <c r="D69" s="166">
        <v>262414</v>
      </c>
      <c r="E69" s="167">
        <f t="shared" si="6"/>
        <v>315820</v>
      </c>
    </row>
    <row r="70" spans="1:5" hidden="1" x14ac:dyDescent="0.25">
      <c r="A70" s="449"/>
      <c r="B70" s="13">
        <v>3</v>
      </c>
      <c r="C70" s="165">
        <v>70111</v>
      </c>
      <c r="D70" s="166">
        <v>320066</v>
      </c>
      <c r="E70" s="167">
        <f t="shared" si="6"/>
        <v>390177</v>
      </c>
    </row>
    <row r="71" spans="1:5" hidden="1" x14ac:dyDescent="0.25">
      <c r="A71" s="449"/>
      <c r="B71" s="13" t="s">
        <v>70</v>
      </c>
      <c r="C71" s="165">
        <v>71413</v>
      </c>
      <c r="D71" s="166">
        <v>297540</v>
      </c>
      <c r="E71" s="167">
        <f t="shared" si="6"/>
        <v>368953</v>
      </c>
    </row>
    <row r="72" spans="1:5" hidden="1" x14ac:dyDescent="0.25">
      <c r="A72" s="449"/>
      <c r="B72" s="13" t="s">
        <v>71</v>
      </c>
      <c r="C72" s="165">
        <v>67756</v>
      </c>
      <c r="D72" s="166">
        <v>290811</v>
      </c>
      <c r="E72" s="167">
        <f t="shared" si="6"/>
        <v>358567</v>
      </c>
    </row>
    <row r="73" spans="1:5" hidden="1" x14ac:dyDescent="0.25">
      <c r="A73" s="449"/>
      <c r="B73" s="13" t="s">
        <v>72</v>
      </c>
      <c r="C73" s="165">
        <v>60987</v>
      </c>
      <c r="D73" s="166">
        <v>316409</v>
      </c>
      <c r="E73" s="167">
        <f t="shared" si="6"/>
        <v>377396</v>
      </c>
    </row>
    <row r="74" spans="1:5" hidden="1" x14ac:dyDescent="0.25">
      <c r="A74" s="449"/>
      <c r="B74" s="13" t="s">
        <v>75</v>
      </c>
      <c r="C74" s="165">
        <v>60286</v>
      </c>
      <c r="D74" s="166">
        <v>297576</v>
      </c>
      <c r="E74" s="167">
        <f t="shared" si="6"/>
        <v>357862</v>
      </c>
    </row>
    <row r="75" spans="1:5" hidden="1" x14ac:dyDescent="0.25">
      <c r="A75" s="449"/>
      <c r="B75" s="13" t="s">
        <v>76</v>
      </c>
      <c r="C75" s="165">
        <v>52897</v>
      </c>
      <c r="D75" s="166">
        <v>311693</v>
      </c>
      <c r="E75" s="167">
        <f t="shared" si="6"/>
        <v>364590</v>
      </c>
    </row>
    <row r="76" spans="1:5" hidden="1" x14ac:dyDescent="0.25">
      <c r="A76" s="449"/>
      <c r="B76" s="13" t="s">
        <v>77</v>
      </c>
      <c r="C76" s="165">
        <v>50139</v>
      </c>
      <c r="D76" s="166">
        <v>330771</v>
      </c>
      <c r="E76" s="167">
        <f t="shared" si="6"/>
        <v>380910</v>
      </c>
    </row>
    <row r="77" spans="1:5" hidden="1" x14ac:dyDescent="0.25">
      <c r="A77" s="449"/>
      <c r="B77" s="13" t="s">
        <v>78</v>
      </c>
      <c r="C77" s="165">
        <v>64912</v>
      </c>
      <c r="D77" s="166">
        <v>337800</v>
      </c>
      <c r="E77" s="167">
        <f t="shared" si="6"/>
        <v>402712</v>
      </c>
    </row>
    <row r="78" spans="1:5" hidden="1" x14ac:dyDescent="0.25">
      <c r="A78" s="449"/>
      <c r="B78" s="13" t="s">
        <v>80</v>
      </c>
      <c r="C78" s="165">
        <v>63160</v>
      </c>
      <c r="D78" s="166">
        <v>330534</v>
      </c>
      <c r="E78" s="167">
        <f t="shared" si="6"/>
        <v>393694</v>
      </c>
    </row>
    <row r="79" spans="1:5" ht="15" hidden="1" thickBot="1" x14ac:dyDescent="0.3">
      <c r="A79" s="450"/>
      <c r="B79" s="14" t="s">
        <v>81</v>
      </c>
      <c r="C79" s="168">
        <v>66335</v>
      </c>
      <c r="D79" s="169">
        <v>333118</v>
      </c>
      <c r="E79" s="170">
        <f t="shared" si="6"/>
        <v>399453</v>
      </c>
    </row>
    <row r="80" spans="1:5" ht="15.6" hidden="1" thickTop="1" thickBot="1" x14ac:dyDescent="0.3">
      <c r="A80" s="10"/>
      <c r="B80" s="11" t="s">
        <v>0</v>
      </c>
      <c r="C80" s="171">
        <f>SUM(C68:C79)</f>
        <v>741842</v>
      </c>
      <c r="D80" s="172">
        <f>SUM(D68:D79)</f>
        <v>3683686</v>
      </c>
      <c r="E80" s="173">
        <f>SUM(E68:E79)</f>
        <v>4425528</v>
      </c>
    </row>
    <row r="81" spans="1:6" ht="13.5" hidden="1" customHeight="1" thickBot="1" x14ac:dyDescent="0.3">
      <c r="A81" s="257"/>
      <c r="B81" s="258"/>
      <c r="C81" s="257"/>
      <c r="D81" s="257"/>
      <c r="E81" s="257"/>
      <c r="F81" s="15"/>
    </row>
    <row r="82" spans="1:6" ht="15" hidden="1" customHeight="1" x14ac:dyDescent="0.25">
      <c r="A82" s="451"/>
      <c r="B82" s="452"/>
      <c r="C82" s="455" t="s">
        <v>16</v>
      </c>
      <c r="D82" s="457" t="s">
        <v>15</v>
      </c>
      <c r="E82" s="446" t="s">
        <v>0</v>
      </c>
      <c r="F82" s="15"/>
    </row>
    <row r="83" spans="1:6" ht="15" hidden="1" customHeight="1" thickBot="1" x14ac:dyDescent="0.3">
      <c r="A83" s="453"/>
      <c r="B83" s="454"/>
      <c r="C83" s="456"/>
      <c r="D83" s="458"/>
      <c r="E83" s="447"/>
      <c r="F83" s="15"/>
    </row>
    <row r="84" spans="1:6" ht="15" hidden="1" customHeight="1" x14ac:dyDescent="0.25">
      <c r="A84" s="448" t="s">
        <v>119</v>
      </c>
      <c r="B84" s="12">
        <v>1</v>
      </c>
      <c r="C84" s="162">
        <v>51426</v>
      </c>
      <c r="D84" s="163">
        <v>287948</v>
      </c>
      <c r="E84" s="164">
        <f t="shared" ref="E84:E95" si="7">C84+D84</f>
        <v>339374</v>
      </c>
      <c r="F84" s="15"/>
    </row>
    <row r="85" spans="1:6" ht="15" hidden="1" customHeight="1" x14ac:dyDescent="0.25">
      <c r="A85" s="449"/>
      <c r="B85" s="13" t="s">
        <v>69</v>
      </c>
      <c r="C85" s="165">
        <v>50200</v>
      </c>
      <c r="D85" s="166">
        <v>262068</v>
      </c>
      <c r="E85" s="167">
        <f t="shared" si="7"/>
        <v>312268</v>
      </c>
      <c r="F85" s="15"/>
    </row>
    <row r="86" spans="1:6" ht="15" hidden="1" customHeight="1" x14ac:dyDescent="0.25">
      <c r="A86" s="449"/>
      <c r="B86" s="13">
        <v>3</v>
      </c>
      <c r="C86" s="165">
        <v>67577</v>
      </c>
      <c r="D86" s="166">
        <v>330170</v>
      </c>
      <c r="E86" s="167">
        <f t="shared" si="7"/>
        <v>397747</v>
      </c>
    </row>
    <row r="87" spans="1:6" ht="15" hidden="1" customHeight="1" x14ac:dyDescent="0.25">
      <c r="A87" s="449"/>
      <c r="B87" s="13" t="s">
        <v>70</v>
      </c>
      <c r="C87" s="165">
        <v>63788</v>
      </c>
      <c r="D87" s="166">
        <v>327995</v>
      </c>
      <c r="E87" s="167">
        <f t="shared" si="7"/>
        <v>391783</v>
      </c>
    </row>
    <row r="88" spans="1:6" ht="15" hidden="1" customHeight="1" x14ac:dyDescent="0.25">
      <c r="A88" s="449"/>
      <c r="B88" s="13" t="s">
        <v>71</v>
      </c>
      <c r="C88" s="165">
        <v>61896</v>
      </c>
      <c r="D88" s="166">
        <v>325610</v>
      </c>
      <c r="E88" s="167">
        <f t="shared" si="7"/>
        <v>387506</v>
      </c>
    </row>
    <row r="89" spans="1:6" ht="15" hidden="1" customHeight="1" x14ac:dyDescent="0.25">
      <c r="A89" s="449"/>
      <c r="B89" s="13" t="s">
        <v>72</v>
      </c>
      <c r="C89" s="165">
        <v>59494</v>
      </c>
      <c r="D89" s="166">
        <v>353358</v>
      </c>
      <c r="E89" s="167">
        <f t="shared" si="7"/>
        <v>412852</v>
      </c>
    </row>
    <row r="90" spans="1:6" ht="15" hidden="1" customHeight="1" x14ac:dyDescent="0.25">
      <c r="A90" s="449"/>
      <c r="B90" s="13" t="s">
        <v>75</v>
      </c>
      <c r="C90" s="165">
        <v>60367</v>
      </c>
      <c r="D90" s="166">
        <v>286498</v>
      </c>
      <c r="E90" s="167">
        <f t="shared" si="7"/>
        <v>346865</v>
      </c>
    </row>
    <row r="91" spans="1:6" ht="15" hidden="1" customHeight="1" x14ac:dyDescent="0.25">
      <c r="A91" s="449"/>
      <c r="B91" s="13" t="s">
        <v>76</v>
      </c>
      <c r="C91" s="165">
        <v>58582</v>
      </c>
      <c r="D91" s="166">
        <v>328303</v>
      </c>
      <c r="E91" s="167">
        <f t="shared" si="7"/>
        <v>386885</v>
      </c>
    </row>
    <row r="92" spans="1:6" ht="15" hidden="1" customHeight="1" x14ac:dyDescent="0.25">
      <c r="A92" s="449"/>
      <c r="B92" s="13" t="s">
        <v>77</v>
      </c>
      <c r="C92" s="165">
        <v>52494</v>
      </c>
      <c r="D92" s="166">
        <v>334982</v>
      </c>
      <c r="E92" s="167">
        <f t="shared" si="7"/>
        <v>387476</v>
      </c>
    </row>
    <row r="93" spans="1:6" ht="15" hidden="1" customHeight="1" x14ac:dyDescent="0.25">
      <c r="A93" s="449"/>
      <c r="B93" s="13" t="s">
        <v>78</v>
      </c>
      <c r="C93" s="165">
        <v>66288</v>
      </c>
      <c r="D93" s="166">
        <v>344037</v>
      </c>
      <c r="E93" s="167">
        <f t="shared" si="7"/>
        <v>410325</v>
      </c>
    </row>
    <row r="94" spans="1:6" ht="15" hidden="1" customHeight="1" x14ac:dyDescent="0.25">
      <c r="A94" s="449"/>
      <c r="B94" s="13" t="s">
        <v>80</v>
      </c>
      <c r="C94" s="165">
        <v>64131</v>
      </c>
      <c r="D94" s="166">
        <v>339237</v>
      </c>
      <c r="E94" s="167">
        <f t="shared" si="7"/>
        <v>403368</v>
      </c>
    </row>
    <row r="95" spans="1:6" ht="15" hidden="1" customHeight="1" thickBot="1" x14ac:dyDescent="0.3">
      <c r="A95" s="450"/>
      <c r="B95" s="14" t="s">
        <v>81</v>
      </c>
      <c r="C95" s="168">
        <v>64835</v>
      </c>
      <c r="D95" s="169">
        <v>347915</v>
      </c>
      <c r="E95" s="170">
        <f t="shared" si="7"/>
        <v>412750</v>
      </c>
    </row>
    <row r="96" spans="1:6" ht="15.6" hidden="1" thickTop="1" thickBot="1" x14ac:dyDescent="0.3">
      <c r="A96" s="10"/>
      <c r="B96" s="11" t="s">
        <v>0</v>
      </c>
      <c r="C96" s="171">
        <f>SUM(C84:C95)</f>
        <v>721078</v>
      </c>
      <c r="D96" s="172">
        <f>SUM(D84:D95)</f>
        <v>3868121</v>
      </c>
      <c r="E96" s="173">
        <f>SUM(E84:E95)</f>
        <v>4589199</v>
      </c>
    </row>
    <row r="97" spans="1:6" ht="13.5" hidden="1" customHeight="1" thickBot="1" x14ac:dyDescent="0.3">
      <c r="A97" s="2"/>
      <c r="B97" s="7"/>
      <c r="C97" s="2"/>
      <c r="D97" s="2"/>
      <c r="E97" s="2"/>
      <c r="F97" s="15"/>
    </row>
    <row r="98" spans="1:6" ht="13.5" hidden="1" customHeight="1" x14ac:dyDescent="0.25">
      <c r="A98" s="451"/>
      <c r="B98" s="452"/>
      <c r="C98" s="455" t="s">
        <v>16</v>
      </c>
      <c r="D98" s="457" t="s">
        <v>15</v>
      </c>
      <c r="E98" s="446" t="s">
        <v>0</v>
      </c>
      <c r="F98" s="8"/>
    </row>
    <row r="99" spans="1:6" ht="15" hidden="1" thickBot="1" x14ac:dyDescent="0.3">
      <c r="A99" s="453"/>
      <c r="B99" s="454"/>
      <c r="C99" s="456"/>
      <c r="D99" s="458"/>
      <c r="E99" s="447"/>
      <c r="F99" s="8"/>
    </row>
    <row r="100" spans="1:6" ht="15" hidden="1" customHeight="1" x14ac:dyDescent="0.25">
      <c r="A100" s="448" t="s">
        <v>82</v>
      </c>
      <c r="B100" s="12">
        <v>1</v>
      </c>
      <c r="C100" s="162">
        <v>45100</v>
      </c>
      <c r="D100" s="163">
        <v>293932</v>
      </c>
      <c r="E100" s="164">
        <f t="shared" ref="E100:E111" si="8">C100+D100</f>
        <v>339032</v>
      </c>
      <c r="F100" s="9"/>
    </row>
    <row r="101" spans="1:6" ht="15" hidden="1" customHeight="1" x14ac:dyDescent="0.25">
      <c r="A101" s="449"/>
      <c r="B101" s="13" t="s">
        <v>69</v>
      </c>
      <c r="C101" s="165">
        <v>53113</v>
      </c>
      <c r="D101" s="166">
        <v>284607</v>
      </c>
      <c r="E101" s="167">
        <f t="shared" si="8"/>
        <v>337720</v>
      </c>
      <c r="F101" s="9"/>
    </row>
    <row r="102" spans="1:6" ht="15" hidden="1" customHeight="1" x14ac:dyDescent="0.25">
      <c r="A102" s="449"/>
      <c r="B102" s="13">
        <v>3</v>
      </c>
      <c r="C102" s="165">
        <v>63765</v>
      </c>
      <c r="D102" s="166">
        <v>326838</v>
      </c>
      <c r="E102" s="167">
        <f t="shared" si="8"/>
        <v>390603</v>
      </c>
      <c r="F102" s="9"/>
    </row>
    <row r="103" spans="1:6" ht="15" hidden="1" customHeight="1" x14ac:dyDescent="0.25">
      <c r="A103" s="449"/>
      <c r="B103" s="13" t="s">
        <v>70</v>
      </c>
      <c r="C103" s="165">
        <v>60361</v>
      </c>
      <c r="D103" s="166">
        <v>291858</v>
      </c>
      <c r="E103" s="167">
        <f t="shared" si="8"/>
        <v>352219</v>
      </c>
      <c r="F103" s="9"/>
    </row>
    <row r="104" spans="1:6" ht="15" hidden="1" customHeight="1" x14ac:dyDescent="0.25">
      <c r="A104" s="449"/>
      <c r="B104" s="13" t="s">
        <v>71</v>
      </c>
      <c r="C104" s="165">
        <v>60607</v>
      </c>
      <c r="D104" s="166">
        <v>305649</v>
      </c>
      <c r="E104" s="167">
        <f t="shared" si="8"/>
        <v>366256</v>
      </c>
      <c r="F104" s="9"/>
    </row>
    <row r="105" spans="1:6" ht="15" hidden="1" customHeight="1" x14ac:dyDescent="0.25">
      <c r="A105" s="449"/>
      <c r="B105" s="13" t="s">
        <v>72</v>
      </c>
      <c r="C105" s="165">
        <v>61837</v>
      </c>
      <c r="D105" s="166">
        <v>297185</v>
      </c>
      <c r="E105" s="167">
        <f t="shared" si="8"/>
        <v>359022</v>
      </c>
      <c r="F105" s="9"/>
    </row>
    <row r="106" spans="1:6" ht="15" hidden="1" customHeight="1" x14ac:dyDescent="0.25">
      <c r="A106" s="449"/>
      <c r="B106" s="13" t="s">
        <v>75</v>
      </c>
      <c r="C106" s="165">
        <v>59614</v>
      </c>
      <c r="D106" s="166">
        <v>303513</v>
      </c>
      <c r="E106" s="167">
        <f t="shared" si="8"/>
        <v>363127</v>
      </c>
      <c r="F106" s="9"/>
    </row>
    <row r="107" spans="1:6" ht="15" hidden="1" customHeight="1" x14ac:dyDescent="0.25">
      <c r="A107" s="449"/>
      <c r="B107" s="13" t="s">
        <v>76</v>
      </c>
      <c r="C107" s="165">
        <v>54560</v>
      </c>
      <c r="D107" s="166">
        <v>297518</v>
      </c>
      <c r="E107" s="167">
        <f t="shared" si="8"/>
        <v>352078</v>
      </c>
      <c r="F107" s="9"/>
    </row>
    <row r="108" spans="1:6" ht="15" hidden="1" customHeight="1" x14ac:dyDescent="0.25">
      <c r="A108" s="449"/>
      <c r="B108" s="13" t="s">
        <v>77</v>
      </c>
      <c r="C108" s="165">
        <v>59714</v>
      </c>
      <c r="D108" s="166">
        <v>352436</v>
      </c>
      <c r="E108" s="167">
        <f t="shared" si="8"/>
        <v>412150</v>
      </c>
      <c r="F108" s="9"/>
    </row>
    <row r="109" spans="1:6" ht="15" hidden="1" customHeight="1" x14ac:dyDescent="0.25">
      <c r="A109" s="449"/>
      <c r="B109" s="13" t="s">
        <v>78</v>
      </c>
      <c r="C109" s="165">
        <v>53012</v>
      </c>
      <c r="D109" s="166">
        <v>351309</v>
      </c>
      <c r="E109" s="167">
        <f t="shared" si="8"/>
        <v>404321</v>
      </c>
      <c r="F109" s="9"/>
    </row>
    <row r="110" spans="1:6" ht="15" hidden="1" customHeight="1" x14ac:dyDescent="0.25">
      <c r="A110" s="449"/>
      <c r="B110" s="13" t="s">
        <v>80</v>
      </c>
      <c r="C110" s="165">
        <v>63895</v>
      </c>
      <c r="D110" s="166">
        <v>357215</v>
      </c>
      <c r="E110" s="167">
        <f t="shared" si="8"/>
        <v>421110</v>
      </c>
      <c r="F110" s="9"/>
    </row>
    <row r="111" spans="1:6" ht="15" hidden="1" customHeight="1" thickBot="1" x14ac:dyDescent="0.3">
      <c r="A111" s="450"/>
      <c r="B111" s="14" t="s">
        <v>81</v>
      </c>
      <c r="C111" s="168">
        <v>53361</v>
      </c>
      <c r="D111" s="169">
        <v>355276</v>
      </c>
      <c r="E111" s="170">
        <f t="shared" si="8"/>
        <v>408637</v>
      </c>
      <c r="F111" s="9"/>
    </row>
    <row r="112" spans="1:6" ht="21.75" hidden="1" customHeight="1" thickTop="1" thickBot="1" x14ac:dyDescent="0.3">
      <c r="A112" s="10"/>
      <c r="B112" s="11" t="s">
        <v>0</v>
      </c>
      <c r="C112" s="171">
        <f>SUM(C100:C111)</f>
        <v>688939</v>
      </c>
      <c r="D112" s="172">
        <f>SUM(D100:D111)</f>
        <v>3817336</v>
      </c>
      <c r="E112" s="173">
        <f>SUM(E100:E111)</f>
        <v>4506275</v>
      </c>
      <c r="F112" s="9"/>
    </row>
    <row r="113" spans="1:6" ht="13.5" hidden="1" customHeight="1" thickBot="1" x14ac:dyDescent="0.3">
      <c r="A113" s="2"/>
      <c r="B113" s="7"/>
      <c r="C113" s="2"/>
      <c r="D113" s="2"/>
      <c r="E113" s="2"/>
      <c r="F113" s="15"/>
    </row>
    <row r="114" spans="1:6" ht="13.5" hidden="1" customHeight="1" x14ac:dyDescent="0.25">
      <c r="A114" s="451"/>
      <c r="B114" s="452"/>
      <c r="C114" s="455" t="s">
        <v>16</v>
      </c>
      <c r="D114" s="457" t="s">
        <v>15</v>
      </c>
      <c r="E114" s="446" t="s">
        <v>0</v>
      </c>
      <c r="F114" s="8"/>
    </row>
    <row r="115" spans="1:6" ht="14.25" hidden="1" customHeight="1" thickBot="1" x14ac:dyDescent="0.3">
      <c r="A115" s="453"/>
      <c r="B115" s="454"/>
      <c r="C115" s="456"/>
      <c r="D115" s="458"/>
      <c r="E115" s="447"/>
      <c r="F115" s="8"/>
    </row>
    <row r="116" spans="1:6" ht="15" hidden="1" customHeight="1" x14ac:dyDescent="0.25">
      <c r="A116" s="448" t="s">
        <v>66</v>
      </c>
      <c r="B116" s="12">
        <v>1</v>
      </c>
      <c r="C116" s="162">
        <v>49852</v>
      </c>
      <c r="D116" s="163">
        <v>260687</v>
      </c>
      <c r="E116" s="164">
        <f t="shared" ref="E116:E127" si="9">C116+D116</f>
        <v>310539</v>
      </c>
      <c r="F116" s="9"/>
    </row>
    <row r="117" spans="1:6" ht="15" hidden="1" customHeight="1" x14ac:dyDescent="0.25">
      <c r="A117" s="449"/>
      <c r="B117" s="13" t="s">
        <v>69</v>
      </c>
      <c r="C117" s="165">
        <v>48844</v>
      </c>
      <c r="D117" s="166">
        <v>282362</v>
      </c>
      <c r="E117" s="167">
        <f t="shared" si="9"/>
        <v>331206</v>
      </c>
      <c r="F117" s="9"/>
    </row>
    <row r="118" spans="1:6" ht="15" hidden="1" customHeight="1" x14ac:dyDescent="0.25">
      <c r="A118" s="449"/>
      <c r="B118" s="13">
        <v>3</v>
      </c>
      <c r="C118" s="165">
        <v>62166</v>
      </c>
      <c r="D118" s="166">
        <v>372265</v>
      </c>
      <c r="E118" s="167">
        <f t="shared" si="9"/>
        <v>434431</v>
      </c>
      <c r="F118" s="9"/>
    </row>
    <row r="119" spans="1:6" ht="15" hidden="1" customHeight="1" x14ac:dyDescent="0.25">
      <c r="A119" s="449"/>
      <c r="B119" s="13" t="s">
        <v>70</v>
      </c>
      <c r="C119" s="165">
        <v>59465</v>
      </c>
      <c r="D119" s="166">
        <v>349654</v>
      </c>
      <c r="E119" s="167">
        <f t="shared" si="9"/>
        <v>409119</v>
      </c>
      <c r="F119" s="9"/>
    </row>
    <row r="120" spans="1:6" ht="15" hidden="1" customHeight="1" x14ac:dyDescent="0.25">
      <c r="A120" s="449"/>
      <c r="B120" s="13" t="s">
        <v>71</v>
      </c>
      <c r="C120" s="165">
        <v>60827</v>
      </c>
      <c r="D120" s="166">
        <v>361957</v>
      </c>
      <c r="E120" s="167">
        <f t="shared" si="9"/>
        <v>422784</v>
      </c>
      <c r="F120" s="9"/>
    </row>
    <row r="121" spans="1:6" ht="15" hidden="1" customHeight="1" x14ac:dyDescent="0.25">
      <c r="A121" s="449"/>
      <c r="B121" s="13" t="s">
        <v>72</v>
      </c>
      <c r="C121" s="165">
        <v>69970</v>
      </c>
      <c r="D121" s="166">
        <v>362903</v>
      </c>
      <c r="E121" s="167">
        <f t="shared" si="9"/>
        <v>432873</v>
      </c>
      <c r="F121" s="9"/>
    </row>
    <row r="122" spans="1:6" ht="15" hidden="1" customHeight="1" x14ac:dyDescent="0.25">
      <c r="A122" s="449"/>
      <c r="B122" s="13" t="s">
        <v>75</v>
      </c>
      <c r="C122" s="165">
        <v>47879</v>
      </c>
      <c r="D122" s="166">
        <v>301864</v>
      </c>
      <c r="E122" s="167">
        <f t="shared" si="9"/>
        <v>349743</v>
      </c>
      <c r="F122" s="9"/>
    </row>
    <row r="123" spans="1:6" ht="15" hidden="1" customHeight="1" x14ac:dyDescent="0.25">
      <c r="A123" s="449"/>
      <c r="B123" s="13" t="s">
        <v>76</v>
      </c>
      <c r="C123" s="165">
        <v>42112</v>
      </c>
      <c r="D123" s="166">
        <v>324030</v>
      </c>
      <c r="E123" s="167">
        <f t="shared" si="9"/>
        <v>366142</v>
      </c>
      <c r="F123" s="9"/>
    </row>
    <row r="124" spans="1:6" ht="15" hidden="1" customHeight="1" x14ac:dyDescent="0.25">
      <c r="A124" s="449"/>
      <c r="B124" s="13" t="s">
        <v>77</v>
      </c>
      <c r="C124" s="165">
        <v>41548</v>
      </c>
      <c r="D124" s="166">
        <v>365856</v>
      </c>
      <c r="E124" s="167">
        <f t="shared" si="9"/>
        <v>407404</v>
      </c>
      <c r="F124" s="9"/>
    </row>
    <row r="125" spans="1:6" ht="15" hidden="1" customHeight="1" x14ac:dyDescent="0.25">
      <c r="A125" s="449"/>
      <c r="B125" s="13" t="s">
        <v>78</v>
      </c>
      <c r="C125" s="165">
        <v>47186</v>
      </c>
      <c r="D125" s="166">
        <v>355695</v>
      </c>
      <c r="E125" s="167">
        <f t="shared" si="9"/>
        <v>402881</v>
      </c>
      <c r="F125" s="9"/>
    </row>
    <row r="126" spans="1:6" ht="15" hidden="1" customHeight="1" x14ac:dyDescent="0.25">
      <c r="A126" s="449"/>
      <c r="B126" s="13" t="s">
        <v>80</v>
      </c>
      <c r="C126" s="165">
        <v>56632</v>
      </c>
      <c r="D126" s="166">
        <v>403938</v>
      </c>
      <c r="E126" s="167">
        <f t="shared" si="9"/>
        <v>460570</v>
      </c>
      <c r="F126" s="9"/>
    </row>
    <row r="127" spans="1:6" ht="15" hidden="1" customHeight="1" thickBot="1" x14ac:dyDescent="0.3">
      <c r="A127" s="450"/>
      <c r="B127" s="14" t="s">
        <v>81</v>
      </c>
      <c r="C127" s="168">
        <v>72161</v>
      </c>
      <c r="D127" s="169">
        <v>415689</v>
      </c>
      <c r="E127" s="170">
        <f t="shared" si="9"/>
        <v>487850</v>
      </c>
      <c r="F127" s="9"/>
    </row>
    <row r="128" spans="1:6" ht="21.75" hidden="1" customHeight="1" thickTop="1" thickBot="1" x14ac:dyDescent="0.3">
      <c r="A128" s="10"/>
      <c r="B128" s="11" t="s">
        <v>0</v>
      </c>
      <c r="C128" s="171">
        <f>SUM(C116:C127)</f>
        <v>658642</v>
      </c>
      <c r="D128" s="172">
        <v>4156900</v>
      </c>
      <c r="E128" s="173">
        <f>SUM(E116:E127)</f>
        <v>4815542</v>
      </c>
      <c r="F128" s="9"/>
    </row>
    <row r="129" spans="1:6" ht="13.5" hidden="1" customHeight="1" x14ac:dyDescent="0.25">
      <c r="A129" s="2"/>
      <c r="B129" s="7"/>
      <c r="C129" s="2"/>
      <c r="D129" s="2"/>
      <c r="E129" s="2"/>
      <c r="F129" s="15"/>
    </row>
    <row r="130" spans="1:6" hidden="1" x14ac:dyDescent="0.25"/>
  </sheetData>
  <mergeCells count="40">
    <mergeCell ref="A2:B3"/>
    <mergeCell ref="C2:C3"/>
    <mergeCell ref="D2:D3"/>
    <mergeCell ref="E2:E3"/>
    <mergeCell ref="A4:A15"/>
    <mergeCell ref="E66:E67"/>
    <mergeCell ref="A66:B67"/>
    <mergeCell ref="D50:D51"/>
    <mergeCell ref="E82:E83"/>
    <mergeCell ref="D114:D115"/>
    <mergeCell ref="C98:C99"/>
    <mergeCell ref="C82:C83"/>
    <mergeCell ref="D82:D83"/>
    <mergeCell ref="A18:B19"/>
    <mergeCell ref="C18:C19"/>
    <mergeCell ref="D18:D19"/>
    <mergeCell ref="A98:B99"/>
    <mergeCell ref="A68:A79"/>
    <mergeCell ref="C66:C67"/>
    <mergeCell ref="D66:D67"/>
    <mergeCell ref="D98:D99"/>
    <mergeCell ref="A84:A95"/>
    <mergeCell ref="A50:B51"/>
    <mergeCell ref="C50:C51"/>
    <mergeCell ref="E18:E19"/>
    <mergeCell ref="A20:A31"/>
    <mergeCell ref="A116:A127"/>
    <mergeCell ref="A114:B115"/>
    <mergeCell ref="C114:C115"/>
    <mergeCell ref="E114:E115"/>
    <mergeCell ref="E98:E99"/>
    <mergeCell ref="A34:B35"/>
    <mergeCell ref="C34:C35"/>
    <mergeCell ref="D34:D35"/>
    <mergeCell ref="E34:E35"/>
    <mergeCell ref="A36:A47"/>
    <mergeCell ref="E50:E51"/>
    <mergeCell ref="A52:A63"/>
    <mergeCell ref="A82:B83"/>
    <mergeCell ref="A100:A111"/>
  </mergeCells>
  <phoneticPr fontId="2" type="noConversion"/>
  <pageMargins left="0.19685039370078741" right="0.19685039370078741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종합</vt:lpstr>
      <vt:lpstr>1월</vt:lpstr>
      <vt:lpstr> 내수</vt:lpstr>
      <vt:lpstr>⊙카메라</vt:lpstr>
      <vt:lpstr>' 내수'!Print_Area</vt:lpstr>
      <vt:lpstr>⊙카메라!Print_Area</vt:lpstr>
      <vt:lpstr>'1월'!Print_Area</vt:lpstr>
      <vt:lpstr>종합!Print_Area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황하람</dc:creator>
  <cp:lastModifiedBy>황하람</cp:lastModifiedBy>
  <cp:lastPrinted>2023-02-01T06:29:46Z</cp:lastPrinted>
  <dcterms:created xsi:type="dcterms:W3CDTF">2010-01-21T08:58:48Z</dcterms:created>
  <dcterms:modified xsi:type="dcterms:W3CDTF">2023-02-01T06:30:54Z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5c787f-039f-4287-bd0c-30008109edfc_Enabled">
    <vt:lpwstr>true</vt:lpwstr>
  </property>
  <property fmtid="{D5CDD505-2E9C-101B-9397-08002B2CF9AE}" pid="3" name="MSIP_Label_425c787f-039f-4287-bd0c-30008109edfc_SetDate">
    <vt:lpwstr>2020-08-31T09:16:22Z</vt:lpwstr>
  </property>
  <property fmtid="{D5CDD505-2E9C-101B-9397-08002B2CF9AE}" pid="4" name="MSIP_Label_425c787f-039f-4287-bd0c-30008109edfc_Method">
    <vt:lpwstr>Standard</vt:lpwstr>
  </property>
  <property fmtid="{D5CDD505-2E9C-101B-9397-08002B2CF9AE}" pid="5" name="MSIP_Label_425c787f-039f-4287-bd0c-30008109edfc_Name">
    <vt:lpwstr>사내한(평문)</vt:lpwstr>
  </property>
  <property fmtid="{D5CDD505-2E9C-101B-9397-08002B2CF9AE}" pid="6" name="MSIP_Label_425c787f-039f-4287-bd0c-30008109edfc_SiteId">
    <vt:lpwstr>f85ca5f1-aa23-4252-a83a-443d333b1fe7</vt:lpwstr>
  </property>
  <property fmtid="{D5CDD505-2E9C-101B-9397-08002B2CF9AE}" pid="7" name="MSIP_Label_425c787f-039f-4287-bd0c-30008109edfc_ActionId">
    <vt:lpwstr>d29be969-3aa5-4e49-84f2-d6ae55109941</vt:lpwstr>
  </property>
  <property fmtid="{D5CDD505-2E9C-101B-9397-08002B2CF9AE}" pid="8" name="MSIP_Label_425c787f-039f-4287-bd0c-30008109edfc_ContentBits">
    <vt:lpwstr>0</vt:lpwstr>
  </property>
</Properties>
</file>